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обоча  ПАПКА\Аналіз виконання  б-ту по видатках\2022\На сайт\"/>
    </mc:Choice>
  </mc:AlternateContent>
  <bookViews>
    <workbookView xWindow="0" yWindow="0" windowWidth="28800" windowHeight="12015"/>
  </bookViews>
  <sheets>
    <sheet name="2021" sheetId="22" r:id="rId1"/>
  </sheets>
  <definedNames>
    <definedName name="_xlnm.Print_Titles" localSheetId="0">'2021'!$3:$5</definedName>
    <definedName name="_xlnm.Print_Area" localSheetId="0">'2021'!$A$1:$Q$99</definedName>
  </definedNames>
  <calcPr calcId="152511"/>
</workbook>
</file>

<file path=xl/calcChain.xml><?xml version="1.0" encoding="utf-8"?>
<calcChain xmlns="http://schemas.openxmlformats.org/spreadsheetml/2006/main">
  <c r="G59" i="22" l="1"/>
  <c r="O61" i="22"/>
  <c r="H61" i="22"/>
  <c r="G61" i="22"/>
  <c r="D61" i="22"/>
  <c r="A47" i="22"/>
  <c r="N56" i="22" l="1"/>
  <c r="K55" i="22"/>
  <c r="K54" i="22"/>
  <c r="K53" i="22"/>
  <c r="K52" i="22"/>
  <c r="K50" i="22"/>
  <c r="K49" i="22"/>
  <c r="K48" i="22"/>
  <c r="K47" i="22"/>
  <c r="K59" i="22" s="1"/>
  <c r="K46" i="22"/>
  <c r="K61" i="22" s="1"/>
  <c r="K81" i="22"/>
  <c r="K84" i="22" s="1"/>
  <c r="K83" i="22" s="1"/>
  <c r="K78" i="22"/>
  <c r="K77" i="22"/>
  <c r="K76" i="22"/>
  <c r="K75" i="22"/>
  <c r="K74" i="22"/>
  <c r="K72" i="22"/>
  <c r="K71" i="22"/>
  <c r="K70" i="22"/>
  <c r="K69" i="22"/>
  <c r="K67" i="22"/>
  <c r="K66" i="22" s="1"/>
  <c r="K44" i="22"/>
  <c r="K43" i="22"/>
  <c r="K42" i="22"/>
  <c r="K41" i="22"/>
  <c r="K40" i="22"/>
  <c r="K39" i="22"/>
  <c r="K38" i="22"/>
  <c r="K37" i="22"/>
  <c r="K36" i="22"/>
  <c r="K35" i="22"/>
  <c r="K34" i="22"/>
  <c r="K33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7" i="22"/>
  <c r="K16" i="22"/>
  <c r="K15" i="22"/>
  <c r="K13" i="22"/>
  <c r="K12" i="22"/>
  <c r="K11" i="22"/>
  <c r="K10" i="22"/>
  <c r="K8" i="22"/>
  <c r="K7" i="22"/>
  <c r="F19" i="22"/>
  <c r="N19" i="22" s="1"/>
  <c r="F10" i="22"/>
  <c r="N10" i="22" s="1"/>
  <c r="K73" i="22" l="1"/>
  <c r="L10" i="22"/>
  <c r="K79" i="22"/>
  <c r="K87" i="22" s="1"/>
  <c r="K93" i="22"/>
  <c r="I10" i="22"/>
  <c r="F31" i="22" l="1"/>
  <c r="D32" i="22"/>
  <c r="K32" i="22" s="1"/>
  <c r="P10" i="22"/>
  <c r="O9" i="22"/>
  <c r="H9" i="22"/>
  <c r="G9" i="22"/>
  <c r="D9" i="22"/>
  <c r="K9" i="22" s="1"/>
  <c r="N31" i="22" l="1"/>
  <c r="I31" i="22"/>
  <c r="J31" i="22"/>
  <c r="M31" i="22"/>
  <c r="L31" i="22"/>
  <c r="F9" i="22"/>
  <c r="N9" i="22" s="1"/>
  <c r="O84" i="22" l="1"/>
  <c r="O83" i="22" s="1"/>
  <c r="O73" i="22"/>
  <c r="O66" i="22"/>
  <c r="O79" i="22" s="1"/>
  <c r="O59" i="22"/>
  <c r="O51" i="22"/>
  <c r="O62" i="22" s="1"/>
  <c r="O32" i="22"/>
  <c r="O18" i="22"/>
  <c r="O14" i="22"/>
  <c r="O87" i="22" l="1"/>
  <c r="O45" i="22"/>
  <c r="O89" i="22" s="1"/>
  <c r="O93" i="22"/>
  <c r="O94" i="22"/>
  <c r="O60" i="22"/>
  <c r="O57" i="22" s="1"/>
  <c r="O92" i="22" l="1"/>
  <c r="O91" i="22"/>
  <c r="O96" i="22" s="1"/>
  <c r="O64" i="22"/>
  <c r="F50" i="22"/>
  <c r="H18" i="22"/>
  <c r="G18" i="22"/>
  <c r="H84" i="22"/>
  <c r="H83" i="22" s="1"/>
  <c r="G84" i="22"/>
  <c r="G83" i="22" s="1"/>
  <c r="E84" i="22"/>
  <c r="E83" i="22" s="1"/>
  <c r="H59" i="22"/>
  <c r="E59" i="22"/>
  <c r="E61" i="22"/>
  <c r="H51" i="22"/>
  <c r="G51" i="22"/>
  <c r="E51" i="22"/>
  <c r="E62" i="22" s="1"/>
  <c r="E32" i="22"/>
  <c r="E18" i="22"/>
  <c r="E14" i="22"/>
  <c r="E9" i="22"/>
  <c r="K51" i="22" l="1"/>
  <c r="K62" i="22" s="1"/>
  <c r="K94" i="22" s="1"/>
  <c r="K92" i="22" s="1"/>
  <c r="H62" i="22"/>
  <c r="P50" i="22"/>
  <c r="F51" i="22"/>
  <c r="G62" i="22"/>
  <c r="G93" i="22"/>
  <c r="I50" i="22"/>
  <c r="L50" i="22"/>
  <c r="H93" i="22"/>
  <c r="E45" i="22"/>
  <c r="K60" i="22" l="1"/>
  <c r="K57" i="22" s="1"/>
  <c r="K91" i="22" s="1"/>
  <c r="D51" i="22"/>
  <c r="D62" i="22" s="1"/>
  <c r="N51" i="22" l="1"/>
  <c r="E60" i="22"/>
  <c r="E57" i="22" s="1"/>
  <c r="E64" i="22" s="1"/>
  <c r="D18" i="22"/>
  <c r="K18" i="22" s="1"/>
  <c r="H60" i="22" l="1"/>
  <c r="H57" i="22" s="1"/>
  <c r="H91" i="22" s="1"/>
  <c r="H94" i="22"/>
  <c r="H92" i="22" s="1"/>
  <c r="G60" i="22"/>
  <c r="G57" i="22" s="1"/>
  <c r="G91" i="22" s="1"/>
  <c r="G94" i="22"/>
  <c r="G92" i="22" s="1"/>
  <c r="S87" i="22" l="1"/>
  <c r="R18" i="22"/>
  <c r="R15" i="22"/>
  <c r="D84" i="22" l="1"/>
  <c r="D83" i="22" s="1"/>
  <c r="F81" i="22"/>
  <c r="N81" i="22" s="1"/>
  <c r="F78" i="22"/>
  <c r="N78" i="22" s="1"/>
  <c r="F77" i="22"/>
  <c r="F76" i="22"/>
  <c r="J76" i="22" s="1"/>
  <c r="F75" i="22"/>
  <c r="F74" i="22"/>
  <c r="N74" i="22" s="1"/>
  <c r="H73" i="22"/>
  <c r="G73" i="22"/>
  <c r="F73" i="22" s="1"/>
  <c r="D73" i="22"/>
  <c r="F72" i="22"/>
  <c r="F71" i="22"/>
  <c r="Q71" i="22" s="1"/>
  <c r="F70" i="22"/>
  <c r="N70" i="22" s="1"/>
  <c r="F69" i="22"/>
  <c r="A70" i="22"/>
  <c r="A71" i="22" s="1"/>
  <c r="A72" i="22" s="1"/>
  <c r="A73" i="22" s="1"/>
  <c r="F68" i="22"/>
  <c r="Q68" i="22" s="1"/>
  <c r="F67" i="22"/>
  <c r="H66" i="22"/>
  <c r="H79" i="22" s="1"/>
  <c r="G66" i="22"/>
  <c r="D66" i="22"/>
  <c r="D79" i="22" s="1"/>
  <c r="K108" i="22" s="1"/>
  <c r="F59" i="22"/>
  <c r="D59" i="22"/>
  <c r="F54" i="22"/>
  <c r="F53" i="22"/>
  <c r="F52" i="22"/>
  <c r="S51" i="22"/>
  <c r="F49" i="22"/>
  <c r="Q49" i="22" s="1"/>
  <c r="F48" i="22"/>
  <c r="F47" i="22"/>
  <c r="F46" i="22"/>
  <c r="A48" i="22"/>
  <c r="A49" i="22" s="1"/>
  <c r="A50" i="22" s="1"/>
  <c r="F44" i="22"/>
  <c r="N44" i="22" s="1"/>
  <c r="F43" i="22"/>
  <c r="N43" i="22" s="1"/>
  <c r="F42" i="22"/>
  <c r="N42" i="22" s="1"/>
  <c r="F41" i="22"/>
  <c r="N41" i="22" s="1"/>
  <c r="F40" i="22"/>
  <c r="F39" i="22"/>
  <c r="F38" i="22"/>
  <c r="A38" i="22"/>
  <c r="A39" i="22" s="1"/>
  <c r="A40" i="22" s="1"/>
  <c r="A41" i="22" s="1"/>
  <c r="A42" i="22" s="1"/>
  <c r="A43" i="22" s="1"/>
  <c r="A44" i="22" s="1"/>
  <c r="F37" i="22"/>
  <c r="F36" i="22"/>
  <c r="N36" i="22" s="1"/>
  <c r="F35" i="22"/>
  <c r="F34" i="22"/>
  <c r="N34" i="22" s="1"/>
  <c r="F33" i="22"/>
  <c r="H32" i="22"/>
  <c r="G32" i="22"/>
  <c r="F32" i="22" s="1"/>
  <c r="N32" i="22" s="1"/>
  <c r="F30" i="22"/>
  <c r="F29" i="22"/>
  <c r="N29" i="22" s="1"/>
  <c r="F28" i="22"/>
  <c r="N28" i="22" s="1"/>
  <c r="F27" i="22"/>
  <c r="F26" i="22"/>
  <c r="N26" i="22" s="1"/>
  <c r="F25" i="22"/>
  <c r="N25" i="22" s="1"/>
  <c r="F24" i="22"/>
  <c r="A25" i="22"/>
  <c r="A26" i="22" s="1"/>
  <c r="A27" i="22" s="1"/>
  <c r="A28" i="22" s="1"/>
  <c r="A29" i="22" s="1"/>
  <c r="A30" i="22" s="1"/>
  <c r="A32" i="22" s="1"/>
  <c r="F23" i="22"/>
  <c r="F22" i="22"/>
  <c r="N22" i="22" s="1"/>
  <c r="F21" i="22"/>
  <c r="F20" i="22"/>
  <c r="N20" i="22" s="1"/>
  <c r="F18" i="22"/>
  <c r="N18" i="22" s="1"/>
  <c r="F17" i="22"/>
  <c r="N17" i="22" s="1"/>
  <c r="F16" i="22"/>
  <c r="N16" i="22" s="1"/>
  <c r="F15" i="22"/>
  <c r="N15" i="22" s="1"/>
  <c r="H14" i="22"/>
  <c r="H45" i="22" s="1"/>
  <c r="G14" i="22"/>
  <c r="D14" i="22"/>
  <c r="F13" i="22"/>
  <c r="F12" i="22"/>
  <c r="N12" i="22" s="1"/>
  <c r="F11" i="22"/>
  <c r="N11" i="22" s="1"/>
  <c r="T8" i="22"/>
  <c r="U8" i="22" s="1"/>
  <c r="F8" i="22"/>
  <c r="A8" i="22"/>
  <c r="U7" i="22"/>
  <c r="T7" i="22"/>
  <c r="F7" i="22"/>
  <c r="N7" i="22" s="1"/>
  <c r="C5" i="22"/>
  <c r="D5" i="22" s="1"/>
  <c r="E5" i="22" s="1"/>
  <c r="G5" i="22" s="1"/>
  <c r="I5" i="22" s="1"/>
  <c r="M47" i="22" l="1"/>
  <c r="N47" i="22"/>
  <c r="J47" i="22"/>
  <c r="J59" i="22"/>
  <c r="M59" i="22"/>
  <c r="N59" i="22"/>
  <c r="J27" i="22"/>
  <c r="N27" i="22"/>
  <c r="Q33" i="22"/>
  <c r="R33" i="22" s="1"/>
  <c r="N33" i="22"/>
  <c r="J38" i="22"/>
  <c r="N38" i="22"/>
  <c r="N73" i="22"/>
  <c r="Q8" i="22"/>
  <c r="N8" i="22"/>
  <c r="J23" i="22"/>
  <c r="N23" i="22"/>
  <c r="P39" i="22"/>
  <c r="N39" i="22"/>
  <c r="P52" i="22"/>
  <c r="N52" i="22"/>
  <c r="I69" i="22"/>
  <c r="N69" i="22"/>
  <c r="F14" i="22"/>
  <c r="N14" i="22" s="1"/>
  <c r="G45" i="22"/>
  <c r="F45" i="22" s="1"/>
  <c r="I37" i="22"/>
  <c r="N37" i="22"/>
  <c r="J48" i="22"/>
  <c r="N48" i="22"/>
  <c r="P67" i="22"/>
  <c r="N67" i="22"/>
  <c r="I76" i="22"/>
  <c r="N76" i="22"/>
  <c r="Q21" i="22"/>
  <c r="R21" i="22" s="1"/>
  <c r="N21" i="22"/>
  <c r="J13" i="22"/>
  <c r="N13" i="22"/>
  <c r="J35" i="22"/>
  <c r="N35" i="22"/>
  <c r="P40" i="22"/>
  <c r="N40" i="22"/>
  <c r="J46" i="22"/>
  <c r="N46" i="22"/>
  <c r="I53" i="22"/>
  <c r="N53" i="22"/>
  <c r="I49" i="22"/>
  <c r="N49" i="22"/>
  <c r="I77" i="22"/>
  <c r="N77" i="22"/>
  <c r="D45" i="22"/>
  <c r="K106" i="22" s="1"/>
  <c r="K14" i="22"/>
  <c r="K45" i="22" s="1"/>
  <c r="J24" i="22"/>
  <c r="N24" i="22"/>
  <c r="Q30" i="22"/>
  <c r="N30" i="22"/>
  <c r="I47" i="22"/>
  <c r="P54" i="22"/>
  <c r="N54" i="22"/>
  <c r="I71" i="22"/>
  <c r="N71" i="22"/>
  <c r="D93" i="22"/>
  <c r="L69" i="22"/>
  <c r="H87" i="22"/>
  <c r="L7" i="22"/>
  <c r="I7" i="22"/>
  <c r="J5" i="22"/>
  <c r="K5" i="22" s="1"/>
  <c r="L5" i="22" s="1"/>
  <c r="M5" i="22" s="1"/>
  <c r="O5" i="22" s="1"/>
  <c r="P5" i="22" s="1"/>
  <c r="Q5" i="22" s="1"/>
  <c r="M81" i="22"/>
  <c r="I9" i="22"/>
  <c r="M74" i="22"/>
  <c r="L37" i="22"/>
  <c r="I68" i="22"/>
  <c r="L68" i="22"/>
  <c r="P68" i="22"/>
  <c r="L76" i="22"/>
  <c r="L78" i="22"/>
  <c r="J21" i="22"/>
  <c r="Q69" i="22"/>
  <c r="M22" i="22"/>
  <c r="M43" i="22"/>
  <c r="Q46" i="22"/>
  <c r="M7" i="22"/>
  <c r="P21" i="22"/>
  <c r="T23" i="22"/>
  <c r="M30" i="22"/>
  <c r="L13" i="22"/>
  <c r="L21" i="22"/>
  <c r="J22" i="22"/>
  <c r="Q67" i="22"/>
  <c r="J69" i="22"/>
  <c r="I21" i="22"/>
  <c r="L24" i="22"/>
  <c r="L27" i="22"/>
  <c r="P69" i="22"/>
  <c r="L47" i="22"/>
  <c r="I52" i="22"/>
  <c r="Q37" i="22"/>
  <c r="M40" i="22"/>
  <c r="P48" i="22"/>
  <c r="J52" i="22"/>
  <c r="I13" i="22"/>
  <c r="L28" i="22"/>
  <c r="L52" i="22"/>
  <c r="P13" i="22"/>
  <c r="Q23" i="22"/>
  <c r="M26" i="22"/>
  <c r="M35" i="22"/>
  <c r="J37" i="22"/>
  <c r="I25" i="22"/>
  <c r="Q25" i="22"/>
  <c r="I34" i="22"/>
  <c r="L36" i="22"/>
  <c r="I39" i="22"/>
  <c r="Q48" i="22"/>
  <c r="L12" i="22"/>
  <c r="L32" i="22"/>
  <c r="I33" i="22"/>
  <c r="I23" i="22"/>
  <c r="J33" i="22"/>
  <c r="I41" i="22"/>
  <c r="M52" i="22"/>
  <c r="L53" i="22"/>
  <c r="S15" i="22"/>
  <c r="L25" i="22"/>
  <c r="M28" i="22"/>
  <c r="M33" i="22"/>
  <c r="L34" i="22"/>
  <c r="Q38" i="22"/>
  <c r="R38" i="22" s="1"/>
  <c r="M41" i="22"/>
  <c r="L48" i="22"/>
  <c r="M53" i="22"/>
  <c r="E66" i="22"/>
  <c r="E79" i="22" s="1"/>
  <c r="I74" i="22"/>
  <c r="M76" i="22"/>
  <c r="L77" i="22"/>
  <c r="I48" i="22"/>
  <c r="P38" i="22"/>
  <c r="M44" i="22"/>
  <c r="M19" i="22"/>
  <c r="S18" i="22"/>
  <c r="M23" i="22"/>
  <c r="M25" i="22"/>
  <c r="L30" i="22"/>
  <c r="M34" i="22"/>
  <c r="L39" i="22"/>
  <c r="M48" i="22"/>
  <c r="P76" i="22"/>
  <c r="P34" i="22"/>
  <c r="P25" i="22"/>
  <c r="Q34" i="22"/>
  <c r="R34" i="22" s="1"/>
  <c r="I38" i="22"/>
  <c r="L17" i="22"/>
  <c r="M20" i="22"/>
  <c r="J25" i="22"/>
  <c r="J34" i="22"/>
  <c r="P74" i="22"/>
  <c r="I78" i="22"/>
  <c r="L11" i="22"/>
  <c r="M11" i="22"/>
  <c r="V45" i="22"/>
  <c r="L14" i="22"/>
  <c r="L38" i="22"/>
  <c r="M38" i="22"/>
  <c r="M16" i="22"/>
  <c r="L16" i="22"/>
  <c r="Q32" i="22"/>
  <c r="J32" i="22"/>
  <c r="I32" i="22"/>
  <c r="P32" i="22"/>
  <c r="Q73" i="22"/>
  <c r="J73" i="22"/>
  <c r="I73" i="22"/>
  <c r="P73" i="22"/>
  <c r="M42" i="22"/>
  <c r="I18" i="22"/>
  <c r="P18" i="22"/>
  <c r="J18" i="22"/>
  <c r="Q18" i="22"/>
  <c r="L15" i="22"/>
  <c r="M15" i="22"/>
  <c r="S45" i="22"/>
  <c r="T43" i="22"/>
  <c r="Q29" i="22"/>
  <c r="P12" i="22"/>
  <c r="P17" i="22"/>
  <c r="P7" i="22"/>
  <c r="J12" i="22"/>
  <c r="Q12" i="22"/>
  <c r="Q28" i="22"/>
  <c r="R28" i="22" s="1"/>
  <c r="L35" i="22"/>
  <c r="Q7" i="22"/>
  <c r="I8" i="22"/>
  <c r="P8" i="22"/>
  <c r="I11" i="22"/>
  <c r="P11" i="22"/>
  <c r="M13" i="22"/>
  <c r="P15" i="22"/>
  <c r="I16" i="22"/>
  <c r="P20" i="22"/>
  <c r="T21" i="22"/>
  <c r="J28" i="22"/>
  <c r="L29" i="22"/>
  <c r="I30" i="22"/>
  <c r="J36" i="22"/>
  <c r="I40" i="22"/>
  <c r="L43" i="22"/>
  <c r="P43" i="22"/>
  <c r="I44" i="22"/>
  <c r="L54" i="22"/>
  <c r="M54" i="22"/>
  <c r="I54" i="22"/>
  <c r="L72" i="22"/>
  <c r="I72" i="22"/>
  <c r="P72" i="22"/>
  <c r="M12" i="22"/>
  <c r="M17" i="22"/>
  <c r="J20" i="22"/>
  <c r="M21" i="22"/>
  <c r="L23" i="22"/>
  <c r="P23" i="22"/>
  <c r="P26" i="22"/>
  <c r="I26" i="22"/>
  <c r="P35" i="22"/>
  <c r="I35" i="22"/>
  <c r="Q35" i="22"/>
  <c r="M36" i="22"/>
  <c r="L40" i="22"/>
  <c r="L44" i="22"/>
  <c r="L49" i="22"/>
  <c r="M69" i="22"/>
  <c r="P29" i="22"/>
  <c r="I29" i="22"/>
  <c r="I12" i="22"/>
  <c r="Q19" i="22"/>
  <c r="J19" i="22"/>
  <c r="I27" i="22"/>
  <c r="J29" i="22"/>
  <c r="P36" i="22"/>
  <c r="L41" i="22"/>
  <c r="Q42" i="22"/>
  <c r="J42" i="22"/>
  <c r="P42" i="22"/>
  <c r="M46" i="22"/>
  <c r="P49" i="22"/>
  <c r="F61" i="22"/>
  <c r="N61" i="22" s="1"/>
  <c r="P75" i="22"/>
  <c r="L75" i="22"/>
  <c r="I75" i="22"/>
  <c r="L22" i="22"/>
  <c r="Q17" i="22"/>
  <c r="I19" i="22"/>
  <c r="F55" i="22"/>
  <c r="N55" i="22" s="1"/>
  <c r="L59" i="22"/>
  <c r="P59" i="22"/>
  <c r="I59" i="22"/>
  <c r="P27" i="22"/>
  <c r="I17" i="22"/>
  <c r="J17" i="22"/>
  <c r="L18" i="22"/>
  <c r="L26" i="22"/>
  <c r="Q36" i="22"/>
  <c r="I42" i="22"/>
  <c r="J7" i="22"/>
  <c r="P16" i="22"/>
  <c r="P19" i="22"/>
  <c r="P28" i="22"/>
  <c r="I28" i="22"/>
  <c r="I36" i="22"/>
  <c r="P44" i="22"/>
  <c r="M49" i="22"/>
  <c r="J49" i="22"/>
  <c r="I15" i="22"/>
  <c r="M24" i="22"/>
  <c r="P24" i="22"/>
  <c r="P30" i="22"/>
  <c r="L67" i="22"/>
  <c r="I67" i="22"/>
  <c r="J67" i="22"/>
  <c r="D87" i="22"/>
  <c r="J8" i="22"/>
  <c r="L19" i="22"/>
  <c r="I20" i="22"/>
  <c r="Q20" i="22"/>
  <c r="P22" i="22"/>
  <c r="I22" i="22"/>
  <c r="Q22" i="22"/>
  <c r="I24" i="22"/>
  <c r="R24" i="22"/>
  <c r="M27" i="22"/>
  <c r="M29" i="22"/>
  <c r="J30" i="22"/>
  <c r="P33" i="22"/>
  <c r="M37" i="22"/>
  <c r="P37" i="22"/>
  <c r="Q41" i="22"/>
  <c r="J41" i="22"/>
  <c r="P41" i="22"/>
  <c r="L42" i="22"/>
  <c r="I43" i="22"/>
  <c r="L46" i="22"/>
  <c r="P46" i="22"/>
  <c r="I46" i="22"/>
  <c r="P47" i="22"/>
  <c r="J54" i="22"/>
  <c r="M67" i="22"/>
  <c r="P70" i="22"/>
  <c r="I70" i="22"/>
  <c r="L70" i="22"/>
  <c r="M70" i="22"/>
  <c r="Q75" i="22"/>
  <c r="M73" i="22"/>
  <c r="L74" i="22"/>
  <c r="Q77" i="22"/>
  <c r="J77" i="22"/>
  <c r="M77" i="22"/>
  <c r="P77" i="22"/>
  <c r="G79" i="22"/>
  <c r="G87" i="22" s="1"/>
  <c r="F66" i="22"/>
  <c r="N66" i="22" s="1"/>
  <c r="E73" i="22"/>
  <c r="J53" i="22"/>
  <c r="P53" i="22"/>
  <c r="F84" i="22"/>
  <c r="N84" i="22" s="1"/>
  <c r="E93" i="22"/>
  <c r="J71" i="22"/>
  <c r="P71" i="22"/>
  <c r="L81" i="22"/>
  <c r="P81" i="22"/>
  <c r="I81" i="22"/>
  <c r="Q78" i="22"/>
  <c r="J78" i="22"/>
  <c r="M78" i="22"/>
  <c r="P78" i="22"/>
  <c r="J14" i="22" l="1"/>
  <c r="P14" i="22"/>
  <c r="Q14" i="22"/>
  <c r="M14" i="22"/>
  <c r="I14" i="22"/>
  <c r="D89" i="22"/>
  <c r="K89" i="22"/>
  <c r="K64" i="22"/>
  <c r="N45" i="22"/>
  <c r="G64" i="22"/>
  <c r="Q9" i="22"/>
  <c r="L9" i="22"/>
  <c r="P9" i="22"/>
  <c r="G89" i="22"/>
  <c r="G96" i="22" s="1"/>
  <c r="J9" i="22"/>
  <c r="H64" i="22"/>
  <c r="H89" i="22"/>
  <c r="H96" i="22" s="1"/>
  <c r="H106" i="22" s="1"/>
  <c r="L20" i="22"/>
  <c r="M32" i="22"/>
  <c r="L33" i="22"/>
  <c r="I84" i="22"/>
  <c r="L84" i="22"/>
  <c r="P84" i="22"/>
  <c r="M84" i="22"/>
  <c r="D94" i="22"/>
  <c r="D92" i="22" s="1"/>
  <c r="D60" i="22"/>
  <c r="D57" i="22" s="1"/>
  <c r="M55" i="22"/>
  <c r="I55" i="22"/>
  <c r="L55" i="22"/>
  <c r="J55" i="22"/>
  <c r="P55" i="22"/>
  <c r="M18" i="22"/>
  <c r="M9" i="22"/>
  <c r="L73" i="22"/>
  <c r="S64" i="22"/>
  <c r="J51" i="22"/>
  <c r="M51" i="22"/>
  <c r="P51" i="22"/>
  <c r="I51" i="22"/>
  <c r="L51" i="22"/>
  <c r="M61" i="22"/>
  <c r="L61" i="22"/>
  <c r="J61" i="22"/>
  <c r="I61" i="22"/>
  <c r="P61" i="22"/>
  <c r="Q61" i="22"/>
  <c r="P45" i="22"/>
  <c r="I45" i="22"/>
  <c r="S43" i="22"/>
  <c r="U43" i="22" s="1"/>
  <c r="Q45" i="22"/>
  <c r="J45" i="22"/>
  <c r="S96" i="22"/>
  <c r="F93" i="22"/>
  <c r="N93" i="22" s="1"/>
  <c r="L8" i="22"/>
  <c r="M8" i="22"/>
  <c r="L45" i="22"/>
  <c r="P66" i="22"/>
  <c r="J66" i="22"/>
  <c r="M66" i="22"/>
  <c r="Q66" i="22"/>
  <c r="I66" i="22"/>
  <c r="L66" i="22"/>
  <c r="F79" i="22"/>
  <c r="F83" i="22"/>
  <c r="F85" i="22"/>
  <c r="L85" i="22" s="1"/>
  <c r="L71" i="22"/>
  <c r="M71" i="22"/>
  <c r="J79" i="22" l="1"/>
  <c r="N79" i="22"/>
  <c r="K96" i="22"/>
  <c r="J83" i="22"/>
  <c r="N83" i="22"/>
  <c r="F89" i="22"/>
  <c r="F94" i="22"/>
  <c r="N94" i="22" s="1"/>
  <c r="K110" i="22"/>
  <c r="K111" i="22" s="1"/>
  <c r="K109" i="22"/>
  <c r="P85" i="22"/>
  <c r="I85" i="22"/>
  <c r="L93" i="22"/>
  <c r="I93" i="22"/>
  <c r="M93" i="22"/>
  <c r="Q93" i="22"/>
  <c r="P93" i="22"/>
  <c r="J93" i="22"/>
  <c r="D91" i="22"/>
  <c r="D96" i="22" s="1"/>
  <c r="D106" i="22" s="1"/>
  <c r="D64" i="22"/>
  <c r="K107" i="22"/>
  <c r="E89" i="22"/>
  <c r="I83" i="22"/>
  <c r="L83" i="22"/>
  <c r="M83" i="22"/>
  <c r="P83" i="22"/>
  <c r="Q79" i="22"/>
  <c r="I79" i="22"/>
  <c r="L79" i="22"/>
  <c r="P79" i="22"/>
  <c r="M79" i="22"/>
  <c r="F62" i="22"/>
  <c r="N62" i="22" s="1"/>
  <c r="M45" i="22"/>
  <c r="V64" i="22"/>
  <c r="I89" i="22" l="1"/>
  <c r="N89" i="22"/>
  <c r="P89" i="22"/>
  <c r="Q89" i="22"/>
  <c r="J89" i="22"/>
  <c r="M89" i="22"/>
  <c r="L89" i="22"/>
  <c r="E94" i="22"/>
  <c r="E92" i="22" s="1"/>
  <c r="L94" i="22"/>
  <c r="I94" i="22"/>
  <c r="P94" i="22"/>
  <c r="Q94" i="22"/>
  <c r="J94" i="22"/>
  <c r="M94" i="22"/>
  <c r="F60" i="22"/>
  <c r="N60" i="22" s="1"/>
  <c r="M62" i="22"/>
  <c r="P62" i="22"/>
  <c r="I62" i="22"/>
  <c r="L62" i="22"/>
  <c r="Q62" i="22"/>
  <c r="J62" i="22"/>
  <c r="F87" i="22"/>
  <c r="N87" i="22" s="1"/>
  <c r="F92" i="22"/>
  <c r="N92" i="22" s="1"/>
  <c r="F91" i="22" l="1"/>
  <c r="N91" i="22" s="1"/>
  <c r="F57" i="22"/>
  <c r="N57" i="22" s="1"/>
  <c r="M60" i="22"/>
  <c r="Q60" i="22"/>
  <c r="J60" i="22"/>
  <c r="P60" i="22"/>
  <c r="L60" i="22"/>
  <c r="I60" i="22"/>
  <c r="E91" i="22"/>
  <c r="E96" i="22" s="1"/>
  <c r="E106" i="22" s="1"/>
  <c r="E87" i="22"/>
  <c r="Q87" i="22"/>
  <c r="J87" i="22"/>
  <c r="L87" i="22"/>
  <c r="P87" i="22"/>
  <c r="I87" i="22"/>
  <c r="M87" i="22"/>
  <c r="L92" i="22"/>
  <c r="I92" i="22"/>
  <c r="Q92" i="22"/>
  <c r="J92" i="22"/>
  <c r="M92" i="22"/>
  <c r="P92" i="22"/>
  <c r="J57" i="22" l="1"/>
  <c r="P57" i="22"/>
  <c r="Q57" i="22"/>
  <c r="L57" i="22"/>
  <c r="M57" i="22"/>
  <c r="I57" i="22"/>
  <c r="F96" i="22"/>
  <c r="F64" i="22"/>
  <c r="N64" i="22" s="1"/>
  <c r="L91" i="22"/>
  <c r="I91" i="22"/>
  <c r="P91" i="22"/>
  <c r="J91" i="22"/>
  <c r="M91" i="22"/>
  <c r="Q91" i="22"/>
  <c r="N96" i="22" l="1"/>
  <c r="L96" i="22"/>
  <c r="I96" i="22"/>
  <c r="P96" i="22"/>
  <c r="F106" i="22"/>
  <c r="Q96" i="22"/>
  <c r="M96" i="22"/>
  <c r="J96" i="22"/>
  <c r="L64" i="22"/>
  <c r="J64" i="22"/>
  <c r="M64" i="22"/>
  <c r="Q64" i="22"/>
  <c r="P64" i="22"/>
  <c r="I64" i="22"/>
</calcChain>
</file>

<file path=xl/sharedStrings.xml><?xml version="1.0" encoding="utf-8"?>
<sst xmlns="http://schemas.openxmlformats.org/spreadsheetml/2006/main" count="191" uniqueCount="176">
  <si>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</si>
  <si>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</si>
  <si>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</si>
  <si>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</si>
  <si>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</si>
  <si>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</si>
  <si>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</si>
  <si>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</si>
  <si>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</si>
  <si>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</si>
  <si>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</si>
  <si>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</si>
  <si>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</si>
  <si>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</si>
  <si>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</si>
  <si>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</si>
  <si>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</si>
  <si>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</si>
  <si>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</si>
  <si>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</si>
  <si>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</si>
  <si>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</si>
  <si>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</si>
  <si>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</si>
  <si>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</si>
  <si>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</si>
  <si>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</si>
  <si>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і закріплені доходи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</si>
  <si>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</si>
  <si>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</si>
  <si>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</si>
  <si>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</si>
  <si>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</si>
  <si>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</si>
  <si>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</si>
  <si>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</si>
  <si>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</si>
  <si>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</si>
  <si>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</si>
  <si>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</si>
  <si>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</si>
  <si>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</si>
  <si>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</si>
  <si>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</si>
  <si>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</si>
  <si>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</si>
  <si>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</si>
  <si>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</si>
  <si>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</si>
  <si>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</si>
  <si>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</si>
  <si>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</si>
  <si>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</si>
  <si>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</si>
  <si>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</si>
  <si>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</si>
  <si>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</si>
  <si>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</si>
  <si>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</si>
  <si>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</si>
  <si>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</si>
  <si>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</si>
  <si>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</si>
  <si>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</si>
  <si>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</si>
  <si>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</si>
  <si>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</si>
  <si>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</si>
  <si>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</si>
  <si>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</si>
  <si>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</si>
  <si>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</si>
  <si>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</si>
  <si>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</si>
  <si>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</si>
  <si>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</si>
  <si>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</si>
  <si>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</si>
  <si>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</si>
  <si>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</si>
  <si>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</si>
  <si>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</si>
  <si>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</si>
  <si>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</si>
  <si>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</si>
  <si>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</si>
  <si>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</si>
  <si>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</si>
  <si>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</si>
  <si>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</si>
  <si>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</si>
  <si>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</si>
  <si>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</si>
  <si>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</si>
  <si>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</si>
  <si>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</si>
  <si>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</si>
  <si>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</si>
  <si>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</si>
  <si>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</si>
  <si>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</si>
  <si>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</si>
  <si>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</si>
  <si>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</si>
  <si>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</si>
  <si>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</si>
  <si>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</si>
  <si>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</si>
  <si>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</si>
  <si>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</si>
  <si>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</si>
  <si>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</si>
  <si>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</si>
  <si>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</si>
  <si>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</si>
  <si>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</si>
  <si>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</si>
  <si>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</si>
  <si>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</si>
  <si>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</si>
  <si>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</si>
  <si>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</si>
  <si>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</si>
  <si>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</si>
  <si>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sz val="15"/>
        <rFont val="Times New Roman"/>
        <family val="1"/>
        <charset val="204"/>
      </rPr>
      <t>Дотація з місцевого бюджету</t>
    </r>
    <r>
      <rPr>
        <sz val="1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</si>
  <si>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</t>
    </r>
  </si>
  <si>
    <t>41055000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</si>
  <si>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</si>
  <si>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</si>
  <si>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</si>
  <si>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6.1.</t>
  </si>
  <si>
    <t>6.2.</t>
  </si>
  <si>
    <t>6.3.</t>
  </si>
  <si>
    <t>6.4.</t>
  </si>
  <si>
    <t>Надійшло за січень 2021р.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</si>
  <si>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</si>
  <si>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</si>
  <si>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</si>
  <si>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</si>
  <si>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</si>
  <si>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5.1.</t>
  </si>
  <si>
    <t>5.2.</t>
  </si>
  <si>
    <t>5.3.</t>
  </si>
  <si>
    <t>5.4.</t>
  </si>
  <si>
    <t>5.5.</t>
  </si>
  <si>
    <t>13.1.</t>
  </si>
  <si>
    <t>13.2.</t>
  </si>
  <si>
    <t>13.3.</t>
  </si>
  <si>
    <t>13.4.</t>
  </si>
  <si>
    <t>ВСЬОГО ДОХОДІВ ЗАГАЛЬНОГО 
ТА СПЕЦІАЛЬНОГО ФОНДІВ</t>
  </si>
  <si>
    <r>
      <t xml:space="preserve">Субвенція з місцевого бюджету </t>
    </r>
    <r>
      <rPr>
        <b/>
        <u/>
        <sz val="15"/>
        <rFont val="Times New Roman Cyr"/>
        <charset val="204"/>
      </rPr>
      <t>на здійснення підтримки окремих закладів та заходів у системі охорони здоров'я</t>
    </r>
    <r>
      <rPr>
        <sz val="15"/>
        <rFont val="Times New Roman Cyr"/>
        <charset val="204"/>
      </rPr>
      <t xml:space="preserve"> за рахунок відповідної субвенції з державного бюджету</t>
    </r>
  </si>
  <si>
    <r>
      <t xml:space="preserve">* на відшкодування витрат </t>
    </r>
    <r>
      <rPr>
        <b/>
        <i/>
        <u/>
        <sz val="15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</si>
  <si>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на пільгове медичне обслуговування  громадян, які </t>
    </r>
    <r>
      <rPr>
        <b/>
        <i/>
        <u/>
        <sz val="15"/>
        <rFont val="Times New Roman Cyr"/>
        <charset val="204"/>
      </rPr>
      <t>постраждали внаслідок Чорнобильської катастрофи</t>
    </r>
  </si>
  <si>
    <r>
      <t>* на компенсаційні</t>
    </r>
    <r>
      <rPr>
        <b/>
        <i/>
        <u/>
        <sz val="15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5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</si>
  <si>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для забезпечення витратними матеріалами (кардіовиробами) хворих області в </t>
    </r>
    <r>
      <rPr>
        <b/>
        <i/>
        <u/>
        <sz val="15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</si>
  <si>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t>Відхилення факту січня 2022р. від факту січня 2021р.</t>
  </si>
  <si>
    <t>Бюджет 
на 2022 рік</t>
  </si>
  <si>
    <t>Надійшло за січень 2022р.</t>
  </si>
  <si>
    <t>План на січень 2022 року</t>
  </si>
  <si>
    <t>Відхилення надходжень до бюджету на січень 2022 року</t>
  </si>
  <si>
    <t xml:space="preserve">Відхилення надходжень до бюджету на січень 2022 року (розрахунковий) </t>
  </si>
  <si>
    <t>% виконання до плану на 2022р. (норма 8,3%)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</si>
  <si>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</si>
  <si>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</si>
  <si>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</si>
  <si>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</si>
  <si>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</si>
  <si>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План на січень 2022р. (розрахунковий)</t>
  </si>
  <si>
    <t>Всього власних доходів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</si>
  <si>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</si>
  <si>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</si>
  <si>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Надходження від орендної плати за користування майновим комплексом та іншим майном, що перебуває в комунальній власності</t>
  </si>
  <si>
    <t>Аналіз виконання бюджету Вінницької міської територіальної громади за січень 2022 року</t>
  </si>
  <si>
    <t xml:space="preserve">Директор департаменту фінансів </t>
  </si>
  <si>
    <t>Наталія ЛУЦЕНКО</t>
  </si>
  <si>
    <t>вик.: М.Серветник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</si>
</sst>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8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u/>
      <sz val="15"/>
      <name val="Times New Roman"/>
      <family val="1"/>
      <charset val="204"/>
    </font>
    <font>
      <b/>
      <i/>
      <u/>
      <sz val="15"/>
      <name val="Times New Roman Cyr"/>
      <charset val="204"/>
    </font>
    <font>
      <i/>
      <sz val="14"/>
      <name val="Times New Roman Cyr"/>
      <charset val="204"/>
    </font>
    <font>
      <b/>
      <u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185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3" fillId="0" borderId="1" xfId="3" applyNumberFormat="1" applyFont="1" applyFill="1" applyBorder="1" applyAlignment="1">
      <alignment horizontal="left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38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5" fillId="2" borderId="1" xfId="1" applyFont="1" applyFill="1" applyBorder="1" applyAlignment="1">
      <alignment horizontal="center" vertical="center"/>
    </xf>
    <xf numFmtId="0" fontId="46" fillId="2" borderId="1" xfId="1" applyFont="1" applyFill="1" applyBorder="1" applyAlignment="1">
      <alignment horizontal="center" vertical="center" wrapText="1"/>
    </xf>
    <xf numFmtId="165" fontId="46" fillId="2" borderId="1" xfId="1" applyNumberFormat="1" applyFont="1" applyFill="1" applyBorder="1" applyAlignment="1">
      <alignment horizontal="center" vertical="center" wrapText="1"/>
    </xf>
    <xf numFmtId="166" fontId="46" fillId="2" borderId="1" xfId="1" applyNumberFormat="1" applyFont="1" applyFill="1" applyBorder="1" applyAlignment="1">
      <alignment horizontal="center" vertical="center" wrapText="1"/>
    </xf>
    <xf numFmtId="166" fontId="46" fillId="2" borderId="1" xfId="3" applyNumberFormat="1" applyFont="1" applyFill="1" applyBorder="1" applyAlignment="1">
      <alignment horizontal="center" vertical="center"/>
    </xf>
    <xf numFmtId="164" fontId="46" fillId="2" borderId="1" xfId="3" applyNumberFormat="1" applyFont="1" applyFill="1" applyBorder="1" applyAlignment="1">
      <alignment horizontal="center" vertical="center"/>
    </xf>
    <xf numFmtId="166" fontId="45" fillId="2" borderId="0" xfId="1" applyNumberFormat="1" applyFont="1" applyFill="1" applyBorder="1"/>
    <xf numFmtId="0" fontId="45" fillId="2" borderId="0" xfId="1" applyFont="1" applyFill="1" applyBorder="1"/>
    <xf numFmtId="49" fontId="46" fillId="2" borderId="1" xfId="1" applyNumberFormat="1" applyFont="1" applyFill="1" applyBorder="1" applyAlignment="1">
      <alignment horizontal="center" vertical="center" wrapText="1"/>
    </xf>
    <xf numFmtId="0" fontId="45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2" fillId="0" borderId="1" xfId="1" applyNumberFormat="1" applyFont="1" applyFill="1" applyBorder="1" applyAlignment="1">
      <alignment horizontal="center" vertical="center"/>
    </xf>
    <xf numFmtId="49" fontId="47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7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30" fillId="0" borderId="0" xfId="0" applyFont="1" applyFill="1" applyBorder="1"/>
    <xf numFmtId="0" fontId="4" fillId="0" borderId="0" xfId="2" applyFont="1" applyFill="1" applyBorder="1" applyAlignment="1">
      <alignment horizontal="center" vertical="center" wrapText="1"/>
    </xf>
    <xf numFmtId="49" fontId="22" fillId="0" borderId="6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30" fillId="0" borderId="3" xfId="3" applyNumberFormat="1" applyFont="1" applyFill="1" applyBorder="1" applyAlignment="1">
      <alignment horizontal="center" vertical="center" wrapText="1"/>
    </xf>
    <xf numFmtId="49" fontId="30" fillId="0" borderId="7" xfId="3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0" fillId="0" borderId="5" xfId="3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4"/>
  <sheetViews>
    <sheetView showGridLines="0" tabSelected="1" view="pageBreakPreview" zoomScale="60" zoomScaleNormal="75" workbookViewId="0">
      <pane xSplit="3" ySplit="6" topLeftCell="D94" activePane="bottomRight" state="frozen"/>
      <selection pane="topRight" activeCell="D1" sqref="D1"/>
      <selection pane="bottomLeft" activeCell="A7" sqref="A7"/>
      <selection pane="bottomRight" activeCell="B99" sqref="B99"/>
    </sheetView>
  </sheetViews>
  <sheetFormatPr defaultColWidth="9.140625" defaultRowHeight="12.75" x14ac:dyDescent="0.2"/>
  <cols>
    <col min="1" max="1" width="12.28515625" style="20" customWidth="1"/>
    <col min="2" max="2" width="113.5703125" style="20" customWidth="1"/>
    <col min="3" max="3" width="16.140625" style="20" customWidth="1"/>
    <col min="4" max="4" width="23.5703125" style="20" customWidth="1"/>
    <col min="5" max="5" width="23.7109375" style="20" hidden="1" customWidth="1"/>
    <col min="6" max="6" width="23.140625" style="3" customWidth="1"/>
    <col min="7" max="7" width="21.28515625" style="3" hidden="1" customWidth="1"/>
    <col min="8" max="8" width="22.140625" style="3" customWidth="1"/>
    <col min="9" max="9" width="22.5703125" style="1" customWidth="1"/>
    <col min="10" max="10" width="14.140625" style="1" bestFit="1" customWidth="1"/>
    <col min="11" max="11" width="23.85546875" style="1" hidden="1" customWidth="1"/>
    <col min="12" max="12" width="22.42578125" style="1" hidden="1" customWidth="1"/>
    <col min="13" max="13" width="14.7109375" style="1" hidden="1" customWidth="1"/>
    <col min="14" max="14" width="15.85546875" style="1" customWidth="1"/>
    <col min="15" max="15" width="23.140625" style="3" customWidth="1"/>
    <col min="16" max="16" width="21.85546875" style="1" customWidth="1"/>
    <col min="17" max="17" width="14.7109375" style="3" bestFit="1" customWidth="1"/>
    <col min="18" max="18" width="22" style="3" hidden="1" customWidth="1"/>
    <col min="19" max="19" width="19.140625" style="3" hidden="1" customWidth="1"/>
    <col min="20" max="20" width="15.85546875" style="3" hidden="1" customWidth="1"/>
    <col min="21" max="21" width="0" style="3" hidden="1" customWidth="1"/>
    <col min="22" max="22" width="24.140625" style="3" hidden="1" customWidth="1"/>
    <col min="23" max="23" width="0" style="3" hidden="1" customWidth="1"/>
    <col min="24" max="24" width="15.140625" style="3" hidden="1" customWidth="1"/>
    <col min="25" max="29" width="0" style="3" hidden="1" customWidth="1"/>
    <col min="30" max="16384" width="9.140625" style="3"/>
  </cols>
  <sheetData>
    <row r="1" spans="1:32" ht="30" customHeight="1" x14ac:dyDescent="0.2">
      <c r="A1" s="169" t="s">
        <v>172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</row>
    <row r="2" spans="1:32" ht="18.75" x14ac:dyDescent="0.3">
      <c r="A2" s="23" t="s">
        <v>47</v>
      </c>
      <c r="B2" s="18"/>
      <c r="C2" s="18"/>
      <c r="D2" s="98"/>
      <c r="E2" s="18"/>
      <c r="F2" s="98"/>
      <c r="G2" s="98"/>
      <c r="H2" s="98"/>
      <c r="O2" s="98"/>
      <c r="P2" s="5" t="s">
        <v>13</v>
      </c>
      <c r="Q2" s="5"/>
    </row>
    <row r="3" spans="1:32" s="66" customFormat="1" ht="15" customHeight="1" x14ac:dyDescent="0.25">
      <c r="A3" s="172" t="s">
        <v>0</v>
      </c>
      <c r="B3" s="184" t="s">
        <v>1</v>
      </c>
      <c r="C3" s="184" t="s">
        <v>2</v>
      </c>
      <c r="D3" s="170" t="s">
        <v>156</v>
      </c>
      <c r="E3" s="170" t="s">
        <v>135</v>
      </c>
      <c r="F3" s="170" t="s">
        <v>157</v>
      </c>
      <c r="G3" s="173" t="s">
        <v>61</v>
      </c>
      <c r="H3" s="170" t="s">
        <v>158</v>
      </c>
      <c r="I3" s="170" t="s">
        <v>159</v>
      </c>
      <c r="J3" s="170" t="s">
        <v>3</v>
      </c>
      <c r="K3" s="170" t="s">
        <v>167</v>
      </c>
      <c r="L3" s="170" t="s">
        <v>160</v>
      </c>
      <c r="M3" s="170" t="s">
        <v>3</v>
      </c>
      <c r="N3" s="171" t="s">
        <v>161</v>
      </c>
      <c r="O3" s="170" t="s">
        <v>134</v>
      </c>
      <c r="P3" s="170" t="s">
        <v>155</v>
      </c>
      <c r="Q3" s="170" t="s">
        <v>3</v>
      </c>
    </row>
    <row r="4" spans="1:32" s="66" customFormat="1" ht="79.5" customHeight="1" x14ac:dyDescent="0.25">
      <c r="A4" s="172"/>
      <c r="B4" s="184"/>
      <c r="C4" s="184"/>
      <c r="D4" s="170"/>
      <c r="E4" s="170"/>
      <c r="F4" s="170"/>
      <c r="G4" s="174"/>
      <c r="H4" s="170"/>
      <c r="I4" s="170"/>
      <c r="J4" s="170"/>
      <c r="K4" s="170"/>
      <c r="L4" s="170"/>
      <c r="M4" s="170"/>
      <c r="N4" s="171"/>
      <c r="O4" s="170"/>
      <c r="P4" s="170"/>
      <c r="Q4" s="170"/>
    </row>
    <row r="5" spans="1:32" s="70" customFormat="1" ht="20.25" x14ac:dyDescent="0.2">
      <c r="A5" s="67" t="s">
        <v>4</v>
      </c>
      <c r="B5" s="68" t="s">
        <v>5</v>
      </c>
      <c r="C5" s="68">
        <f>B5+1</f>
        <v>3</v>
      </c>
      <c r="D5" s="68">
        <f>C5+1</f>
        <v>4</v>
      </c>
      <c r="E5" s="68">
        <f t="shared" ref="E5:Q5" si="0">D5+1</f>
        <v>5</v>
      </c>
      <c r="F5" s="68">
        <v>5</v>
      </c>
      <c r="G5" s="68">
        <f t="shared" si="0"/>
        <v>6</v>
      </c>
      <c r="H5" s="68">
        <v>6</v>
      </c>
      <c r="I5" s="68">
        <f t="shared" si="0"/>
        <v>7</v>
      </c>
      <c r="J5" s="68">
        <f t="shared" ref="J5" si="1">I5+1</f>
        <v>8</v>
      </c>
      <c r="K5" s="68">
        <f t="shared" ref="K5" si="2">J5+1</f>
        <v>9</v>
      </c>
      <c r="L5" s="68">
        <f t="shared" ref="L5" si="3">K5+1</f>
        <v>10</v>
      </c>
      <c r="M5" s="68">
        <f t="shared" ref="M5" si="4">L5+1</f>
        <v>11</v>
      </c>
      <c r="N5" s="68">
        <v>9</v>
      </c>
      <c r="O5" s="68">
        <f t="shared" si="0"/>
        <v>10</v>
      </c>
      <c r="P5" s="68">
        <f t="shared" si="0"/>
        <v>11</v>
      </c>
      <c r="Q5" s="68">
        <f t="shared" si="0"/>
        <v>12</v>
      </c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</row>
    <row r="6" spans="1:32" s="71" customFormat="1" ht="26.25" customHeight="1" x14ac:dyDescent="0.2">
      <c r="A6" s="175" t="s">
        <v>6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7"/>
    </row>
    <row r="7" spans="1:32" s="76" customFormat="1" ht="40.5" customHeight="1" x14ac:dyDescent="0.25">
      <c r="A7" s="72">
        <v>1</v>
      </c>
      <c r="B7" s="81" t="s">
        <v>63</v>
      </c>
      <c r="C7" s="73" t="s">
        <v>14</v>
      </c>
      <c r="D7" s="115">
        <v>2859393.46</v>
      </c>
      <c r="E7" s="115">
        <v>2398057.0789999999</v>
      </c>
      <c r="F7" s="115">
        <f t="shared" ref="F7:F40" si="5">SUM(G7:G7)</f>
        <v>178227.345</v>
      </c>
      <c r="G7" s="115">
        <v>178227.345</v>
      </c>
      <c r="H7" s="116">
        <v>161440.51500000001</v>
      </c>
      <c r="I7" s="117">
        <f t="shared" ref="I7:I40" si="6">F7-H7</f>
        <v>16786.829999999987</v>
      </c>
      <c r="J7" s="118">
        <f>F7/H7*100</f>
        <v>110.398151913725</v>
      </c>
      <c r="K7" s="117">
        <f>D7/12*1</f>
        <v>238282.78833333333</v>
      </c>
      <c r="L7" s="117">
        <f t="shared" ref="L7:L40" si="7">F7-K7</f>
        <v>-60055.443333333329</v>
      </c>
      <c r="M7" s="118">
        <f t="shared" ref="M7:M38" si="8">F7/K7*100</f>
        <v>74.796566821552432</v>
      </c>
      <c r="N7" s="118">
        <f>F7/D7*100</f>
        <v>6.2330472351293693</v>
      </c>
      <c r="O7" s="115">
        <v>146999.421</v>
      </c>
      <c r="P7" s="117">
        <f t="shared" ref="P7:P40" si="9">F7-O7</f>
        <v>31227.923999999999</v>
      </c>
      <c r="Q7" s="118">
        <f>F7/O7*100</f>
        <v>121.24356938793656</v>
      </c>
      <c r="R7" s="74"/>
      <c r="S7" s="74"/>
      <c r="T7" s="74">
        <f>R7-S7</f>
        <v>0</v>
      </c>
      <c r="U7" s="75" t="e">
        <f>R7/S7*100</f>
        <v>#DIV/0!</v>
      </c>
    </row>
    <row r="8" spans="1:32" s="76" customFormat="1" ht="27.75" customHeight="1" x14ac:dyDescent="0.25">
      <c r="A8" s="72">
        <f>A7+1</f>
        <v>2</v>
      </c>
      <c r="B8" s="81" t="s">
        <v>35</v>
      </c>
      <c r="C8" s="73" t="s">
        <v>16</v>
      </c>
      <c r="D8" s="115">
        <v>1010</v>
      </c>
      <c r="E8" s="115">
        <v>1100</v>
      </c>
      <c r="F8" s="115">
        <f t="shared" si="5"/>
        <v>2.6560000000000001</v>
      </c>
      <c r="G8" s="115">
        <v>2.6560000000000001</v>
      </c>
      <c r="H8" s="116">
        <v>2</v>
      </c>
      <c r="I8" s="117">
        <f t="shared" si="6"/>
        <v>0.65600000000000014</v>
      </c>
      <c r="J8" s="118">
        <f>F8/H8*100</f>
        <v>132.80000000000001</v>
      </c>
      <c r="K8" s="117">
        <f t="shared" ref="K8:K44" si="10">D8/12*1</f>
        <v>84.166666666666671</v>
      </c>
      <c r="L8" s="117">
        <f t="shared" si="7"/>
        <v>-81.510666666666665</v>
      </c>
      <c r="M8" s="118">
        <f t="shared" si="8"/>
        <v>3.1556435643564353</v>
      </c>
      <c r="N8" s="118">
        <f t="shared" ref="N8:N70" si="11">F8/D8*100</f>
        <v>0.26297029702970298</v>
      </c>
      <c r="O8" s="115">
        <v>70</v>
      </c>
      <c r="P8" s="117">
        <f t="shared" si="9"/>
        <v>-67.343999999999994</v>
      </c>
      <c r="Q8" s="118">
        <f>F8/O8*100</f>
        <v>3.7942857142857145</v>
      </c>
      <c r="R8" s="74"/>
      <c r="S8" s="74"/>
      <c r="T8" s="74">
        <f>O7/0.5</f>
        <v>293998.842</v>
      </c>
      <c r="U8" s="75">
        <f>S8/T8*100</f>
        <v>0</v>
      </c>
    </row>
    <row r="9" spans="1:32" s="76" customFormat="1" ht="23.25" x14ac:dyDescent="0.25">
      <c r="A9" s="72">
        <v>3</v>
      </c>
      <c r="B9" s="81" t="s">
        <v>101</v>
      </c>
      <c r="C9" s="73" t="s">
        <v>102</v>
      </c>
      <c r="D9" s="115">
        <f>SUM(D10:D13)</f>
        <v>484</v>
      </c>
      <c r="E9" s="115">
        <f>SUM(E11:E13)</f>
        <v>506.88</v>
      </c>
      <c r="F9" s="115">
        <f>SUM(G9:G9)</f>
        <v>1.3639999999999999</v>
      </c>
      <c r="G9" s="115">
        <f>SUM(G10:G13)</f>
        <v>1.3639999999999999</v>
      </c>
      <c r="H9" s="115">
        <f>SUM(H10:H13)</f>
        <v>1.32</v>
      </c>
      <c r="I9" s="117">
        <f t="shared" si="6"/>
        <v>4.3999999999999817E-2</v>
      </c>
      <c r="J9" s="118">
        <f>F9/H9*100</f>
        <v>103.33333333333331</v>
      </c>
      <c r="K9" s="117">
        <f t="shared" si="10"/>
        <v>40.333333333333336</v>
      </c>
      <c r="L9" s="117">
        <f t="shared" si="7"/>
        <v>-38.969333333333338</v>
      </c>
      <c r="M9" s="118">
        <f t="shared" si="8"/>
        <v>3.3818181818181809</v>
      </c>
      <c r="N9" s="118">
        <f t="shared" si="11"/>
        <v>0.2818181818181818</v>
      </c>
      <c r="O9" s="115">
        <f>SUM(O10:O13)</f>
        <v>0.54200000000000004</v>
      </c>
      <c r="P9" s="117">
        <f t="shared" si="9"/>
        <v>0.82199999999999984</v>
      </c>
      <c r="Q9" s="118">
        <f>F9/O9*100</f>
        <v>251.66051660516601</v>
      </c>
      <c r="R9" s="74"/>
      <c r="S9" s="74"/>
      <c r="T9" s="74"/>
      <c r="U9" s="75"/>
    </row>
    <row r="10" spans="1:32" s="76" customFormat="1" ht="39" x14ac:dyDescent="0.25">
      <c r="A10" s="77" t="s">
        <v>103</v>
      </c>
      <c r="B10" s="160" t="s">
        <v>162</v>
      </c>
      <c r="C10" s="165" t="s">
        <v>163</v>
      </c>
      <c r="D10" s="115">
        <v>23</v>
      </c>
      <c r="E10" s="115"/>
      <c r="F10" s="119">
        <f t="shared" si="5"/>
        <v>0</v>
      </c>
      <c r="G10" s="115">
        <v>0</v>
      </c>
      <c r="H10" s="116">
        <v>0</v>
      </c>
      <c r="I10" s="117">
        <f t="shared" ref="I10" si="12">F10-H10</f>
        <v>0</v>
      </c>
      <c r="J10" s="118"/>
      <c r="K10" s="117">
        <f t="shared" si="10"/>
        <v>1.9166666666666667</v>
      </c>
      <c r="L10" s="117">
        <f t="shared" ref="L10" si="13">F10-K10</f>
        <v>-1.9166666666666667</v>
      </c>
      <c r="M10" s="118"/>
      <c r="N10" s="118">
        <f t="shared" si="11"/>
        <v>0</v>
      </c>
      <c r="O10" s="115">
        <v>0</v>
      </c>
      <c r="P10" s="117">
        <f t="shared" si="9"/>
        <v>0</v>
      </c>
      <c r="Q10" s="118"/>
      <c r="R10" s="74"/>
      <c r="S10" s="74"/>
      <c r="T10" s="74"/>
      <c r="U10" s="75"/>
    </row>
    <row r="11" spans="1:32" s="80" customFormat="1" ht="58.5" x14ac:dyDescent="0.25">
      <c r="A11" s="77" t="s">
        <v>104</v>
      </c>
      <c r="B11" s="160" t="s">
        <v>96</v>
      </c>
      <c r="C11" s="65" t="s">
        <v>97</v>
      </c>
      <c r="D11" s="119">
        <v>160</v>
      </c>
      <c r="E11" s="119">
        <v>166.79</v>
      </c>
      <c r="F11" s="119">
        <f t="shared" si="5"/>
        <v>0</v>
      </c>
      <c r="G11" s="119">
        <v>0</v>
      </c>
      <c r="H11" s="120">
        <v>0</v>
      </c>
      <c r="I11" s="121">
        <f t="shared" si="6"/>
        <v>0</v>
      </c>
      <c r="J11" s="122"/>
      <c r="K11" s="121">
        <f t="shared" si="10"/>
        <v>13.333333333333334</v>
      </c>
      <c r="L11" s="121">
        <f t="shared" si="7"/>
        <v>-13.333333333333334</v>
      </c>
      <c r="M11" s="122">
        <f t="shared" si="8"/>
        <v>0</v>
      </c>
      <c r="N11" s="122">
        <f t="shared" si="11"/>
        <v>0</v>
      </c>
      <c r="O11" s="119">
        <v>0</v>
      </c>
      <c r="P11" s="121">
        <f t="shared" si="9"/>
        <v>0</v>
      </c>
      <c r="Q11" s="122"/>
    </row>
    <row r="12" spans="1:32" s="80" customFormat="1" ht="39" x14ac:dyDescent="0.25">
      <c r="A12" s="77" t="s">
        <v>105</v>
      </c>
      <c r="B12" s="160" t="s">
        <v>138</v>
      </c>
      <c r="C12" s="65" t="s">
        <v>100</v>
      </c>
      <c r="D12" s="119">
        <v>86</v>
      </c>
      <c r="E12" s="119">
        <v>82.45</v>
      </c>
      <c r="F12" s="119">
        <f t="shared" si="5"/>
        <v>0.96</v>
      </c>
      <c r="G12" s="119">
        <v>0.96</v>
      </c>
      <c r="H12" s="120">
        <v>0.92</v>
      </c>
      <c r="I12" s="121">
        <f t="shared" si="6"/>
        <v>3.9999999999999925E-2</v>
      </c>
      <c r="J12" s="122">
        <f>F12/H12*100</f>
        <v>104.34782608695652</v>
      </c>
      <c r="K12" s="121">
        <f t="shared" si="10"/>
        <v>7.166666666666667</v>
      </c>
      <c r="L12" s="121">
        <f t="shared" si="7"/>
        <v>-6.206666666666667</v>
      </c>
      <c r="M12" s="122">
        <f t="shared" si="8"/>
        <v>13.395348837209301</v>
      </c>
      <c r="N12" s="122">
        <f t="shared" si="11"/>
        <v>1.1162790697674418</v>
      </c>
      <c r="O12" s="119">
        <v>0.54200000000000004</v>
      </c>
      <c r="P12" s="121">
        <f t="shared" si="9"/>
        <v>0.41799999999999993</v>
      </c>
      <c r="Q12" s="122">
        <f>F12/O12*100</f>
        <v>177.12177121771217</v>
      </c>
    </row>
    <row r="13" spans="1:32" s="80" customFormat="1" ht="39" x14ac:dyDescent="0.25">
      <c r="A13" s="77" t="s">
        <v>164</v>
      </c>
      <c r="B13" s="160" t="s">
        <v>137</v>
      </c>
      <c r="C13" s="65" t="s">
        <v>136</v>
      </c>
      <c r="D13" s="119">
        <v>215</v>
      </c>
      <c r="E13" s="119">
        <v>257.64</v>
      </c>
      <c r="F13" s="119">
        <f t="shared" si="5"/>
        <v>0.40400000000000003</v>
      </c>
      <c r="G13" s="119">
        <v>0.40400000000000003</v>
      </c>
      <c r="H13" s="120">
        <v>0.4</v>
      </c>
      <c r="I13" s="121">
        <f t="shared" si="6"/>
        <v>4.0000000000000036E-3</v>
      </c>
      <c r="J13" s="122">
        <f>F13/H13*100</f>
        <v>101</v>
      </c>
      <c r="K13" s="121">
        <f t="shared" si="10"/>
        <v>17.916666666666668</v>
      </c>
      <c r="L13" s="121">
        <f t="shared" si="7"/>
        <v>-17.512666666666668</v>
      </c>
      <c r="M13" s="122">
        <f t="shared" si="8"/>
        <v>2.2548837209302324</v>
      </c>
      <c r="N13" s="122">
        <f t="shared" si="11"/>
        <v>0.18790697674418605</v>
      </c>
      <c r="O13" s="119">
        <v>0</v>
      </c>
      <c r="P13" s="121">
        <f t="shared" si="9"/>
        <v>0.40400000000000003</v>
      </c>
      <c r="Q13" s="122"/>
    </row>
    <row r="14" spans="1:32" s="76" customFormat="1" ht="23.25" x14ac:dyDescent="0.25">
      <c r="A14" s="72">
        <v>4</v>
      </c>
      <c r="B14" s="103" t="s">
        <v>87</v>
      </c>
      <c r="C14" s="99" t="s">
        <v>86</v>
      </c>
      <c r="D14" s="115">
        <f>SUM(D15:D17)</f>
        <v>283000</v>
      </c>
      <c r="E14" s="115">
        <f>SUM(E15:E17)</f>
        <v>247766</v>
      </c>
      <c r="F14" s="115">
        <f t="shared" si="5"/>
        <v>13827.143</v>
      </c>
      <c r="G14" s="115">
        <f t="shared" ref="G14:H14" si="14">SUM(G15:G17)</f>
        <v>13827.143</v>
      </c>
      <c r="H14" s="116">
        <f t="shared" si="14"/>
        <v>10300</v>
      </c>
      <c r="I14" s="117">
        <f t="shared" si="6"/>
        <v>3527.143</v>
      </c>
      <c r="J14" s="118">
        <f>F14/H14*100</f>
        <v>134.24410679611651</v>
      </c>
      <c r="K14" s="117">
        <f t="shared" si="10"/>
        <v>23583.333333333332</v>
      </c>
      <c r="L14" s="117">
        <f t="shared" si="7"/>
        <v>-9756.1903333333321</v>
      </c>
      <c r="M14" s="118">
        <f t="shared" si="8"/>
        <v>58.630995053003531</v>
      </c>
      <c r="N14" s="118">
        <f t="shared" si="11"/>
        <v>4.8859162544169612</v>
      </c>
      <c r="O14" s="115">
        <f t="shared" ref="O14" si="15">SUM(O15:O17)</f>
        <v>9113.7909999999993</v>
      </c>
      <c r="P14" s="117">
        <f t="shared" si="9"/>
        <v>4713.3520000000008</v>
      </c>
      <c r="Q14" s="118">
        <f>F14/O14*100</f>
        <v>151.71670054755481</v>
      </c>
    </row>
    <row r="15" spans="1:32" s="80" customFormat="1" ht="31.5" customHeight="1" x14ac:dyDescent="0.25">
      <c r="A15" s="77" t="s">
        <v>118</v>
      </c>
      <c r="B15" s="160" t="s">
        <v>90</v>
      </c>
      <c r="C15" s="65" t="s">
        <v>84</v>
      </c>
      <c r="D15" s="119">
        <v>32000</v>
      </c>
      <c r="E15" s="119">
        <v>25500</v>
      </c>
      <c r="F15" s="119">
        <f t="shared" si="5"/>
        <v>0</v>
      </c>
      <c r="G15" s="119">
        <v>0</v>
      </c>
      <c r="H15" s="120">
        <v>0</v>
      </c>
      <c r="I15" s="121">
        <f t="shared" si="6"/>
        <v>0</v>
      </c>
      <c r="J15" s="122"/>
      <c r="K15" s="121">
        <f t="shared" si="10"/>
        <v>2666.6666666666665</v>
      </c>
      <c r="L15" s="121">
        <f t="shared" si="7"/>
        <v>-2666.6666666666665</v>
      </c>
      <c r="M15" s="122">
        <f t="shared" si="8"/>
        <v>0</v>
      </c>
      <c r="N15" s="122">
        <f t="shared" si="11"/>
        <v>0</v>
      </c>
      <c r="O15" s="119">
        <v>0</v>
      </c>
      <c r="P15" s="121">
        <f t="shared" si="9"/>
        <v>0</v>
      </c>
      <c r="Q15" s="122"/>
      <c r="R15" s="78">
        <f>O15+O16</f>
        <v>0</v>
      </c>
      <c r="S15" s="78">
        <f>F15+F16</f>
        <v>0</v>
      </c>
    </row>
    <row r="16" spans="1:32" s="80" customFormat="1" ht="39" x14ac:dyDescent="0.25">
      <c r="A16" s="77" t="s">
        <v>119</v>
      </c>
      <c r="B16" s="160" t="s">
        <v>91</v>
      </c>
      <c r="C16" s="65" t="s">
        <v>85</v>
      </c>
      <c r="D16" s="119">
        <v>106000</v>
      </c>
      <c r="E16" s="119">
        <v>87500</v>
      </c>
      <c r="F16" s="119">
        <f t="shared" si="5"/>
        <v>0</v>
      </c>
      <c r="G16" s="119">
        <v>0</v>
      </c>
      <c r="H16" s="120">
        <v>0</v>
      </c>
      <c r="I16" s="121">
        <f t="shared" si="6"/>
        <v>0</v>
      </c>
      <c r="J16" s="122"/>
      <c r="K16" s="121">
        <f t="shared" si="10"/>
        <v>8833.3333333333339</v>
      </c>
      <c r="L16" s="121">
        <f t="shared" si="7"/>
        <v>-8833.3333333333339</v>
      </c>
      <c r="M16" s="122">
        <f t="shared" si="8"/>
        <v>0</v>
      </c>
      <c r="N16" s="122">
        <f t="shared" si="11"/>
        <v>0</v>
      </c>
      <c r="O16" s="119">
        <v>0</v>
      </c>
      <c r="P16" s="121">
        <f t="shared" si="9"/>
        <v>0</v>
      </c>
      <c r="Q16" s="122"/>
    </row>
    <row r="17" spans="1:20" s="80" customFormat="1" ht="39" x14ac:dyDescent="0.25">
      <c r="A17" s="77" t="s">
        <v>120</v>
      </c>
      <c r="B17" s="160" t="s">
        <v>92</v>
      </c>
      <c r="C17" s="65" t="s">
        <v>54</v>
      </c>
      <c r="D17" s="119">
        <v>145000</v>
      </c>
      <c r="E17" s="119">
        <v>134766</v>
      </c>
      <c r="F17" s="119">
        <f t="shared" si="5"/>
        <v>13827.143</v>
      </c>
      <c r="G17" s="119">
        <v>13827.143</v>
      </c>
      <c r="H17" s="120">
        <v>10300</v>
      </c>
      <c r="I17" s="121">
        <f t="shared" si="6"/>
        <v>3527.143</v>
      </c>
      <c r="J17" s="122">
        <f t="shared" ref="J17:J25" si="16">F17/H17*100</f>
        <v>134.24410679611651</v>
      </c>
      <c r="K17" s="121">
        <f t="shared" si="10"/>
        <v>12083.333333333334</v>
      </c>
      <c r="L17" s="121">
        <f t="shared" si="7"/>
        <v>1743.8096666666661</v>
      </c>
      <c r="M17" s="122">
        <f t="shared" si="8"/>
        <v>114.43152827586206</v>
      </c>
      <c r="N17" s="122">
        <f t="shared" si="11"/>
        <v>9.5359606896551714</v>
      </c>
      <c r="O17" s="119">
        <v>9113.7909999999993</v>
      </c>
      <c r="P17" s="121">
        <f t="shared" si="9"/>
        <v>4713.3520000000008</v>
      </c>
      <c r="Q17" s="122">
        <f t="shared" ref="Q17:Q23" si="17">F17/O17*100</f>
        <v>151.71670054755481</v>
      </c>
    </row>
    <row r="18" spans="1:20" s="104" customFormat="1" ht="39" x14ac:dyDescent="0.25">
      <c r="A18" s="72">
        <v>5</v>
      </c>
      <c r="B18" s="81" t="s">
        <v>170</v>
      </c>
      <c r="C18" s="73" t="s">
        <v>37</v>
      </c>
      <c r="D18" s="115">
        <f>D19+D20+D21+D23+D22</f>
        <v>1148486.2349999999</v>
      </c>
      <c r="E18" s="115">
        <f>E19+E20+E21+E23+E22</f>
        <v>1024661.45</v>
      </c>
      <c r="F18" s="115">
        <f t="shared" si="5"/>
        <v>103730.772</v>
      </c>
      <c r="G18" s="115">
        <f t="shared" ref="G18:H18" si="18">G19+G20+G21+G23+G22</f>
        <v>103730.772</v>
      </c>
      <c r="H18" s="116">
        <f t="shared" si="18"/>
        <v>97486</v>
      </c>
      <c r="I18" s="117">
        <f t="shared" si="6"/>
        <v>6244.7719999999972</v>
      </c>
      <c r="J18" s="118">
        <f t="shared" si="16"/>
        <v>106.40581416818824</v>
      </c>
      <c r="K18" s="117">
        <f t="shared" si="10"/>
        <v>95707.186249999984</v>
      </c>
      <c r="L18" s="117">
        <f t="shared" si="7"/>
        <v>8023.5857500000129</v>
      </c>
      <c r="M18" s="118">
        <f t="shared" si="8"/>
        <v>108.38347261515069</v>
      </c>
      <c r="N18" s="118">
        <f t="shared" si="11"/>
        <v>9.0319560512625578</v>
      </c>
      <c r="O18" s="115">
        <f t="shared" ref="O18" si="19">O19+O20+O21+O23+O22</f>
        <v>75712.956999999995</v>
      </c>
      <c r="P18" s="117">
        <f t="shared" si="9"/>
        <v>28017.815000000002</v>
      </c>
      <c r="Q18" s="118">
        <f t="shared" si="17"/>
        <v>137.00531072904732</v>
      </c>
      <c r="R18" s="144">
        <f>O20+O21+O19</f>
        <v>25681.474999999999</v>
      </c>
      <c r="S18" s="144">
        <f>F19+F20+F21</f>
        <v>30555.905999999999</v>
      </c>
    </row>
    <row r="19" spans="1:20" s="106" customFormat="1" ht="23.25" x14ac:dyDescent="0.25">
      <c r="A19" s="105" t="s">
        <v>140</v>
      </c>
      <c r="B19" s="161" t="s">
        <v>55</v>
      </c>
      <c r="C19" s="168" t="s">
        <v>43</v>
      </c>
      <c r="D19" s="119">
        <v>116436.235</v>
      </c>
      <c r="E19" s="119">
        <v>92667.25</v>
      </c>
      <c r="F19" s="119">
        <f t="shared" si="5"/>
        <v>13619.357</v>
      </c>
      <c r="G19" s="119">
        <v>13619.357</v>
      </c>
      <c r="H19" s="120">
        <v>12832</v>
      </c>
      <c r="I19" s="121">
        <f t="shared" si="6"/>
        <v>787.35699999999997</v>
      </c>
      <c r="J19" s="122">
        <f t="shared" si="16"/>
        <v>106.13588684538652</v>
      </c>
      <c r="K19" s="142">
        <f t="shared" si="10"/>
        <v>9703.0195833333328</v>
      </c>
      <c r="L19" s="121">
        <f t="shared" si="7"/>
        <v>3916.3374166666672</v>
      </c>
      <c r="M19" s="122">
        <f t="shared" si="8"/>
        <v>140.36204794838994</v>
      </c>
      <c r="N19" s="122">
        <f t="shared" si="11"/>
        <v>11.696837329032496</v>
      </c>
      <c r="O19" s="119">
        <v>9723.768</v>
      </c>
      <c r="P19" s="121">
        <f t="shared" si="9"/>
        <v>3895.5889999999999</v>
      </c>
      <c r="Q19" s="122">
        <f t="shared" si="17"/>
        <v>140.06254571273195</v>
      </c>
    </row>
    <row r="20" spans="1:20" s="106" customFormat="1" ht="23.25" x14ac:dyDescent="0.25">
      <c r="A20" s="77" t="s">
        <v>141</v>
      </c>
      <c r="B20" s="161" t="s">
        <v>7</v>
      </c>
      <c r="C20" s="168"/>
      <c r="D20" s="119">
        <v>271200</v>
      </c>
      <c r="E20" s="119">
        <v>300000</v>
      </c>
      <c r="F20" s="119">
        <f t="shared" si="5"/>
        <v>16688.975999999999</v>
      </c>
      <c r="G20" s="119">
        <v>16688.975999999999</v>
      </c>
      <c r="H20" s="120">
        <v>15990</v>
      </c>
      <c r="I20" s="121">
        <f t="shared" si="6"/>
        <v>698.97599999999875</v>
      </c>
      <c r="J20" s="122">
        <f t="shared" si="16"/>
        <v>104.37133208255159</v>
      </c>
      <c r="K20" s="117">
        <f t="shared" si="10"/>
        <v>22600</v>
      </c>
      <c r="L20" s="121">
        <f t="shared" si="7"/>
        <v>-5911.0240000000013</v>
      </c>
      <c r="M20" s="122">
        <f t="shared" si="8"/>
        <v>73.845026548672564</v>
      </c>
      <c r="N20" s="122">
        <f t="shared" si="11"/>
        <v>6.1537522123893806</v>
      </c>
      <c r="O20" s="119">
        <v>15633.511</v>
      </c>
      <c r="P20" s="121">
        <f t="shared" si="9"/>
        <v>1055.4649999999983</v>
      </c>
      <c r="Q20" s="122">
        <f t="shared" si="17"/>
        <v>106.75129854067968</v>
      </c>
    </row>
    <row r="21" spans="1:20" s="106" customFormat="1" ht="23.25" x14ac:dyDescent="0.25">
      <c r="A21" s="77" t="s">
        <v>142</v>
      </c>
      <c r="B21" s="161" t="s">
        <v>56</v>
      </c>
      <c r="C21" s="168"/>
      <c r="D21" s="119">
        <v>1200</v>
      </c>
      <c r="E21" s="119">
        <v>475</v>
      </c>
      <c r="F21" s="119">
        <f t="shared" si="5"/>
        <v>247.57300000000001</v>
      </c>
      <c r="G21" s="119">
        <v>247.57300000000001</v>
      </c>
      <c r="H21" s="120">
        <v>228</v>
      </c>
      <c r="I21" s="121">
        <f t="shared" si="6"/>
        <v>19.573000000000008</v>
      </c>
      <c r="J21" s="122">
        <f t="shared" si="16"/>
        <v>108.58464912280704</v>
      </c>
      <c r="K21" s="117">
        <f t="shared" si="10"/>
        <v>100</v>
      </c>
      <c r="L21" s="121">
        <f t="shared" si="7"/>
        <v>147.57300000000001</v>
      </c>
      <c r="M21" s="122">
        <f t="shared" si="8"/>
        <v>247.57300000000001</v>
      </c>
      <c r="N21" s="122">
        <f t="shared" si="11"/>
        <v>20.631083333333333</v>
      </c>
      <c r="O21" s="119">
        <v>324.19600000000003</v>
      </c>
      <c r="P21" s="121">
        <f t="shared" si="9"/>
        <v>-76.623000000000019</v>
      </c>
      <c r="Q21" s="122">
        <f t="shared" si="17"/>
        <v>76.365223506767506</v>
      </c>
      <c r="R21" s="122">
        <f>100-Q21</f>
        <v>23.634776493232494</v>
      </c>
      <c r="S21" s="107"/>
      <c r="T21" s="108" t="e">
        <f>F19/#REF!*100</f>
        <v>#REF!</v>
      </c>
    </row>
    <row r="22" spans="1:20" s="110" customFormat="1" ht="23.25" x14ac:dyDescent="0.25">
      <c r="A22" s="77" t="s">
        <v>143</v>
      </c>
      <c r="B22" s="161" t="s">
        <v>39</v>
      </c>
      <c r="C22" s="109" t="s">
        <v>38</v>
      </c>
      <c r="D22" s="119">
        <v>2050</v>
      </c>
      <c r="E22" s="119">
        <v>950</v>
      </c>
      <c r="F22" s="119">
        <f t="shared" si="5"/>
        <v>94</v>
      </c>
      <c r="G22" s="119">
        <v>94</v>
      </c>
      <c r="H22" s="120">
        <v>77</v>
      </c>
      <c r="I22" s="121">
        <f t="shared" si="6"/>
        <v>17</v>
      </c>
      <c r="J22" s="122">
        <f t="shared" si="16"/>
        <v>122.07792207792207</v>
      </c>
      <c r="K22" s="117">
        <f t="shared" si="10"/>
        <v>170.83333333333334</v>
      </c>
      <c r="L22" s="121">
        <f t="shared" si="7"/>
        <v>-76.833333333333343</v>
      </c>
      <c r="M22" s="122">
        <f t="shared" si="8"/>
        <v>55.024390243902431</v>
      </c>
      <c r="N22" s="122">
        <f t="shared" si="11"/>
        <v>4.5853658536585362</v>
      </c>
      <c r="O22" s="119">
        <v>59.935000000000002</v>
      </c>
      <c r="P22" s="119">
        <f t="shared" si="9"/>
        <v>34.064999999999998</v>
      </c>
      <c r="Q22" s="122">
        <f t="shared" si="17"/>
        <v>156.83657295403353</v>
      </c>
    </row>
    <row r="23" spans="1:20" s="106" customFormat="1" ht="23.25" x14ac:dyDescent="0.25">
      <c r="A23" s="77" t="s">
        <v>144</v>
      </c>
      <c r="B23" s="161" t="s">
        <v>33</v>
      </c>
      <c r="C23" s="138" t="s">
        <v>34</v>
      </c>
      <c r="D23" s="119">
        <v>757600</v>
      </c>
      <c r="E23" s="119">
        <v>630569.19999999995</v>
      </c>
      <c r="F23" s="119">
        <f t="shared" si="5"/>
        <v>73080.865999999995</v>
      </c>
      <c r="G23" s="119">
        <v>73080.865999999995</v>
      </c>
      <c r="H23" s="120">
        <v>68359</v>
      </c>
      <c r="I23" s="121">
        <f t="shared" si="6"/>
        <v>4721.8659999999945</v>
      </c>
      <c r="J23" s="122">
        <f t="shared" si="16"/>
        <v>106.90745329802951</v>
      </c>
      <c r="K23" s="117">
        <f t="shared" si="10"/>
        <v>63133.333333333336</v>
      </c>
      <c r="L23" s="121">
        <f t="shared" si="7"/>
        <v>9947.5326666666588</v>
      </c>
      <c r="M23" s="122">
        <f t="shared" si="8"/>
        <v>115.75638753959872</v>
      </c>
      <c r="N23" s="122">
        <f t="shared" si="11"/>
        <v>9.6463656282998933</v>
      </c>
      <c r="O23" s="119">
        <v>49971.546999999999</v>
      </c>
      <c r="P23" s="121">
        <f t="shared" si="9"/>
        <v>23109.318999999996</v>
      </c>
      <c r="Q23" s="122">
        <f t="shared" si="17"/>
        <v>146.24495415361065</v>
      </c>
      <c r="S23" s="107"/>
      <c r="T23" s="108" t="e">
        <f>F23/#REF!*100</f>
        <v>#REF!</v>
      </c>
    </row>
    <row r="24" spans="1:20" s="76" customFormat="1" ht="39" x14ac:dyDescent="0.25">
      <c r="A24" s="72">
        <v>6</v>
      </c>
      <c r="B24" s="81" t="s">
        <v>45</v>
      </c>
      <c r="C24" s="73" t="s">
        <v>17</v>
      </c>
      <c r="D24" s="115">
        <v>950</v>
      </c>
      <c r="E24" s="115">
        <v>450</v>
      </c>
      <c r="F24" s="115">
        <f t="shared" si="5"/>
        <v>1.284</v>
      </c>
      <c r="G24" s="115">
        <v>1.284</v>
      </c>
      <c r="H24" s="116">
        <v>1</v>
      </c>
      <c r="I24" s="117">
        <f t="shared" si="6"/>
        <v>0.28400000000000003</v>
      </c>
      <c r="J24" s="118">
        <f t="shared" si="16"/>
        <v>128.4</v>
      </c>
      <c r="K24" s="117">
        <f t="shared" si="10"/>
        <v>79.166666666666671</v>
      </c>
      <c r="L24" s="117">
        <f t="shared" si="7"/>
        <v>-77.882666666666665</v>
      </c>
      <c r="M24" s="118">
        <f t="shared" si="8"/>
        <v>1.6218947368421051</v>
      </c>
      <c r="N24" s="118">
        <f t="shared" si="11"/>
        <v>0.13515789473684212</v>
      </c>
      <c r="O24" s="115">
        <v>10</v>
      </c>
      <c r="P24" s="117">
        <f t="shared" si="9"/>
        <v>-8.7159999999999993</v>
      </c>
      <c r="Q24" s="118"/>
      <c r="R24" s="75">
        <f>100-Q24</f>
        <v>100</v>
      </c>
    </row>
    <row r="25" spans="1:20" s="76" customFormat="1" ht="23.25" x14ac:dyDescent="0.25">
      <c r="A25" s="72">
        <f t="shared" ref="A25:A30" si="20">A24+1</f>
        <v>7</v>
      </c>
      <c r="B25" s="81" t="s">
        <v>68</v>
      </c>
      <c r="C25" s="73" t="s">
        <v>67</v>
      </c>
      <c r="D25" s="115">
        <v>12000</v>
      </c>
      <c r="E25" s="115">
        <v>12000</v>
      </c>
      <c r="F25" s="115">
        <f t="shared" si="5"/>
        <v>501.13</v>
      </c>
      <c r="G25" s="115">
        <v>501.13</v>
      </c>
      <c r="H25" s="116">
        <v>400</v>
      </c>
      <c r="I25" s="117">
        <f t="shared" si="6"/>
        <v>101.13</v>
      </c>
      <c r="J25" s="118">
        <f t="shared" si="16"/>
        <v>125.28250000000001</v>
      </c>
      <c r="K25" s="117">
        <f t="shared" si="10"/>
        <v>1000</v>
      </c>
      <c r="L25" s="117">
        <f t="shared" si="7"/>
        <v>-498.87</v>
      </c>
      <c r="M25" s="118">
        <f t="shared" si="8"/>
        <v>50.113</v>
      </c>
      <c r="N25" s="118">
        <f t="shared" si="11"/>
        <v>4.1760833333333327</v>
      </c>
      <c r="O25" s="115">
        <v>432.791</v>
      </c>
      <c r="P25" s="117">
        <f t="shared" si="9"/>
        <v>68.338999999999999</v>
      </c>
      <c r="Q25" s="118">
        <f>F25/O25*100</f>
        <v>115.79030063009628</v>
      </c>
    </row>
    <row r="26" spans="1:20" s="76" customFormat="1" ht="23.25" x14ac:dyDescent="0.25">
      <c r="A26" s="72">
        <f t="shared" si="20"/>
        <v>8</v>
      </c>
      <c r="B26" s="81" t="s">
        <v>8</v>
      </c>
      <c r="C26" s="73" t="s">
        <v>18</v>
      </c>
      <c r="D26" s="115">
        <v>6.1</v>
      </c>
      <c r="E26" s="115">
        <v>5.5</v>
      </c>
      <c r="F26" s="115">
        <f t="shared" si="5"/>
        <v>0</v>
      </c>
      <c r="G26" s="115">
        <v>0</v>
      </c>
      <c r="H26" s="116">
        <v>0</v>
      </c>
      <c r="I26" s="117">
        <f t="shared" si="6"/>
        <v>0</v>
      </c>
      <c r="J26" s="118"/>
      <c r="K26" s="117">
        <f t="shared" si="10"/>
        <v>0.5083333333333333</v>
      </c>
      <c r="L26" s="117">
        <f t="shared" si="7"/>
        <v>-0.5083333333333333</v>
      </c>
      <c r="M26" s="118">
        <f t="shared" si="8"/>
        <v>0</v>
      </c>
      <c r="N26" s="118">
        <f t="shared" si="11"/>
        <v>0</v>
      </c>
      <c r="O26" s="115">
        <v>0</v>
      </c>
      <c r="P26" s="117">
        <f t="shared" si="9"/>
        <v>0</v>
      </c>
      <c r="Q26" s="118"/>
    </row>
    <row r="27" spans="1:20" s="76" customFormat="1" ht="58.5" x14ac:dyDescent="0.25">
      <c r="A27" s="72">
        <f t="shared" si="20"/>
        <v>9</v>
      </c>
      <c r="B27" s="132" t="s">
        <v>88</v>
      </c>
      <c r="C27" s="100" t="s">
        <v>89</v>
      </c>
      <c r="D27" s="115">
        <v>0.05</v>
      </c>
      <c r="E27" s="115">
        <v>4.5</v>
      </c>
      <c r="F27" s="115">
        <f t="shared" si="5"/>
        <v>5.1849999999999996</v>
      </c>
      <c r="G27" s="115">
        <v>5.1849999999999996</v>
      </c>
      <c r="H27" s="116">
        <v>0.05</v>
      </c>
      <c r="I27" s="117">
        <f t="shared" si="6"/>
        <v>5.1349999999999998</v>
      </c>
      <c r="J27" s="118">
        <f t="shared" ref="J27:J38" si="21">F27/H27*100</f>
        <v>10369.999999999998</v>
      </c>
      <c r="K27" s="117">
        <f t="shared" si="10"/>
        <v>4.1666666666666666E-3</v>
      </c>
      <c r="L27" s="117">
        <f t="shared" si="7"/>
        <v>5.1808333333333332</v>
      </c>
      <c r="M27" s="118">
        <f t="shared" si="8"/>
        <v>124439.99999999999</v>
      </c>
      <c r="N27" s="118">
        <f t="shared" si="11"/>
        <v>10369.999999999998</v>
      </c>
      <c r="O27" s="115">
        <v>0</v>
      </c>
      <c r="P27" s="117">
        <f t="shared" si="9"/>
        <v>5.1849999999999996</v>
      </c>
      <c r="Q27" s="118"/>
    </row>
    <row r="28" spans="1:20" s="76" customFormat="1" ht="23.25" x14ac:dyDescent="0.25">
      <c r="A28" s="72">
        <f t="shared" si="20"/>
        <v>10</v>
      </c>
      <c r="B28" s="128" t="s">
        <v>30</v>
      </c>
      <c r="C28" s="73" t="s">
        <v>24</v>
      </c>
      <c r="D28" s="115">
        <v>14300</v>
      </c>
      <c r="E28" s="115">
        <v>8804.73</v>
      </c>
      <c r="F28" s="115">
        <f t="shared" si="5"/>
        <v>1031.287</v>
      </c>
      <c r="G28" s="115">
        <v>1031.287</v>
      </c>
      <c r="H28" s="116">
        <v>965</v>
      </c>
      <c r="I28" s="117">
        <f t="shared" si="6"/>
        <v>66.287000000000035</v>
      </c>
      <c r="J28" s="118">
        <f t="shared" si="21"/>
        <v>106.86911917098445</v>
      </c>
      <c r="K28" s="117">
        <f t="shared" si="10"/>
        <v>1191.6666666666667</v>
      </c>
      <c r="L28" s="117">
        <f t="shared" si="7"/>
        <v>-160.37966666666671</v>
      </c>
      <c r="M28" s="118">
        <f t="shared" si="8"/>
        <v>86.54156643356643</v>
      </c>
      <c r="N28" s="118">
        <f t="shared" si="11"/>
        <v>7.2117972027972028</v>
      </c>
      <c r="O28" s="115">
        <v>497.94799999999998</v>
      </c>
      <c r="P28" s="117">
        <f t="shared" si="9"/>
        <v>533.33900000000006</v>
      </c>
      <c r="Q28" s="118">
        <f t="shared" ref="Q28:Q38" si="22">F28/O28*100</f>
        <v>207.10736864090228</v>
      </c>
      <c r="R28" s="75">
        <f>100-Q28</f>
        <v>-107.10736864090228</v>
      </c>
    </row>
    <row r="29" spans="1:20" s="76" customFormat="1" ht="39" x14ac:dyDescent="0.25">
      <c r="A29" s="72">
        <f t="shared" si="20"/>
        <v>11</v>
      </c>
      <c r="B29" s="128" t="s">
        <v>78</v>
      </c>
      <c r="C29" s="73" t="s">
        <v>77</v>
      </c>
      <c r="D29" s="115">
        <v>560</v>
      </c>
      <c r="E29" s="115">
        <v>410</v>
      </c>
      <c r="F29" s="115">
        <f t="shared" si="5"/>
        <v>79.635000000000005</v>
      </c>
      <c r="G29" s="115">
        <v>79.635000000000005</v>
      </c>
      <c r="H29" s="116">
        <v>72</v>
      </c>
      <c r="I29" s="117">
        <f t="shared" si="6"/>
        <v>7.6350000000000051</v>
      </c>
      <c r="J29" s="118">
        <f t="shared" si="21"/>
        <v>110.60416666666669</v>
      </c>
      <c r="K29" s="117">
        <f t="shared" si="10"/>
        <v>46.666666666666664</v>
      </c>
      <c r="L29" s="117">
        <f t="shared" si="7"/>
        <v>32.968333333333341</v>
      </c>
      <c r="M29" s="118">
        <f t="shared" si="8"/>
        <v>170.6464285714286</v>
      </c>
      <c r="N29" s="118">
        <f t="shared" si="11"/>
        <v>14.220535714285715</v>
      </c>
      <c r="O29" s="115">
        <v>14.6</v>
      </c>
      <c r="P29" s="117">
        <f t="shared" si="9"/>
        <v>65.035000000000011</v>
      </c>
      <c r="Q29" s="118">
        <f t="shared" si="22"/>
        <v>545.44520547945206</v>
      </c>
    </row>
    <row r="30" spans="1:20" s="76" customFormat="1" ht="23.25" x14ac:dyDescent="0.25">
      <c r="A30" s="72">
        <f t="shared" si="20"/>
        <v>12</v>
      </c>
      <c r="B30" s="128" t="s">
        <v>106</v>
      </c>
      <c r="C30" s="73" t="s">
        <v>107</v>
      </c>
      <c r="D30" s="115">
        <v>18563.54</v>
      </c>
      <c r="E30" s="115">
        <v>15000</v>
      </c>
      <c r="F30" s="115">
        <f t="shared" si="5"/>
        <v>1407.4690000000001</v>
      </c>
      <c r="G30" s="115">
        <v>1407.4690000000001</v>
      </c>
      <c r="H30" s="116">
        <v>1300</v>
      </c>
      <c r="I30" s="117">
        <f t="shared" si="6"/>
        <v>107.46900000000005</v>
      </c>
      <c r="J30" s="118">
        <f t="shared" si="21"/>
        <v>108.26684615384616</v>
      </c>
      <c r="K30" s="117">
        <f t="shared" si="10"/>
        <v>1546.9616666666668</v>
      </c>
      <c r="L30" s="117">
        <f t="shared" si="7"/>
        <v>-139.49266666666676</v>
      </c>
      <c r="M30" s="118">
        <f t="shared" si="8"/>
        <v>90.982797462121979</v>
      </c>
      <c r="N30" s="118">
        <f t="shared" si="11"/>
        <v>7.5818997885101655</v>
      </c>
      <c r="O30" s="115">
        <v>1342.5139999999999</v>
      </c>
      <c r="P30" s="117">
        <f t="shared" si="9"/>
        <v>64.955000000000155</v>
      </c>
      <c r="Q30" s="118">
        <f t="shared" si="22"/>
        <v>104.83831081091148</v>
      </c>
    </row>
    <row r="31" spans="1:20" s="76" customFormat="1" ht="58.5" x14ac:dyDescent="0.25">
      <c r="A31" s="72"/>
      <c r="B31" s="128" t="s">
        <v>165</v>
      </c>
      <c r="C31" s="73" t="s">
        <v>166</v>
      </c>
      <c r="D31" s="115">
        <v>35</v>
      </c>
      <c r="E31" s="115"/>
      <c r="F31" s="115">
        <f t="shared" si="5"/>
        <v>8.39</v>
      </c>
      <c r="G31" s="115">
        <v>8.39</v>
      </c>
      <c r="H31" s="116">
        <v>7.7</v>
      </c>
      <c r="I31" s="117">
        <f t="shared" si="6"/>
        <v>0.69000000000000039</v>
      </c>
      <c r="J31" s="118">
        <f t="shared" si="21"/>
        <v>108.96103896103897</v>
      </c>
      <c r="K31" s="117">
        <f t="shared" si="10"/>
        <v>2.9166666666666665</v>
      </c>
      <c r="L31" s="117">
        <f t="shared" ref="L31" si="23">F31-K31</f>
        <v>5.4733333333333345</v>
      </c>
      <c r="M31" s="118">
        <f>F31/K31*100</f>
        <v>287.6571428571429</v>
      </c>
      <c r="N31" s="118">
        <f t="shared" si="11"/>
        <v>23.971428571428575</v>
      </c>
      <c r="O31" s="115"/>
      <c r="P31" s="117"/>
      <c r="Q31" s="118"/>
    </row>
    <row r="32" spans="1:20" s="76" customFormat="1" ht="23.25" x14ac:dyDescent="0.25">
      <c r="A32" s="72">
        <f>A30+1</f>
        <v>13</v>
      </c>
      <c r="B32" s="128" t="s">
        <v>80</v>
      </c>
      <c r="C32" s="73" t="s">
        <v>79</v>
      </c>
      <c r="D32" s="115">
        <f>SUM(D33:D36)</f>
        <v>34832</v>
      </c>
      <c r="E32" s="115">
        <f>SUM(E33:E36)</f>
        <v>27762.799999999999</v>
      </c>
      <c r="F32" s="115">
        <f t="shared" si="5"/>
        <v>2780.7419999999997</v>
      </c>
      <c r="G32" s="115">
        <f t="shared" ref="G32:H32" si="24">SUM(G33:G36)</f>
        <v>2780.7419999999997</v>
      </c>
      <c r="H32" s="116">
        <f t="shared" si="24"/>
        <v>2653.7</v>
      </c>
      <c r="I32" s="117">
        <f t="shared" si="6"/>
        <v>127.04199999999992</v>
      </c>
      <c r="J32" s="118">
        <f t="shared" si="21"/>
        <v>104.78735350642498</v>
      </c>
      <c r="K32" s="117">
        <f t="shared" si="10"/>
        <v>2902.6666666666665</v>
      </c>
      <c r="L32" s="117">
        <f t="shared" si="7"/>
        <v>-121.92466666666678</v>
      </c>
      <c r="M32" s="118">
        <f t="shared" si="8"/>
        <v>95.799563619660077</v>
      </c>
      <c r="N32" s="118">
        <f t="shared" si="11"/>
        <v>7.9832969683050061</v>
      </c>
      <c r="O32" s="115">
        <f t="shared" ref="O32" si="25">SUM(O33:O36)</f>
        <v>2016.3869999999999</v>
      </c>
      <c r="P32" s="117">
        <f t="shared" si="9"/>
        <v>764.35499999999979</v>
      </c>
      <c r="Q32" s="118">
        <f t="shared" si="22"/>
        <v>137.90715770335754</v>
      </c>
    </row>
    <row r="33" spans="1:24" s="80" customFormat="1" ht="39" x14ac:dyDescent="0.25">
      <c r="A33" s="77" t="s">
        <v>145</v>
      </c>
      <c r="B33" s="129" t="s">
        <v>72</v>
      </c>
      <c r="C33" s="138" t="s">
        <v>71</v>
      </c>
      <c r="D33" s="119">
        <v>1500</v>
      </c>
      <c r="E33" s="119">
        <v>1300</v>
      </c>
      <c r="F33" s="119">
        <f t="shared" si="5"/>
        <v>105.29900000000001</v>
      </c>
      <c r="G33" s="119">
        <v>105.29900000000001</v>
      </c>
      <c r="H33" s="120">
        <v>94</v>
      </c>
      <c r="I33" s="121">
        <f t="shared" si="6"/>
        <v>11.299000000000007</v>
      </c>
      <c r="J33" s="122">
        <f t="shared" si="21"/>
        <v>112.02021276595747</v>
      </c>
      <c r="K33" s="117">
        <f t="shared" si="10"/>
        <v>125</v>
      </c>
      <c r="L33" s="121">
        <f t="shared" si="7"/>
        <v>-19.700999999999993</v>
      </c>
      <c r="M33" s="122">
        <f t="shared" si="8"/>
        <v>84.239199999999997</v>
      </c>
      <c r="N33" s="122">
        <f t="shared" si="11"/>
        <v>7.0199333333333334</v>
      </c>
      <c r="O33" s="119">
        <v>91.153999999999996</v>
      </c>
      <c r="P33" s="121">
        <f t="shared" si="9"/>
        <v>14.14500000000001</v>
      </c>
      <c r="Q33" s="122">
        <f t="shared" si="22"/>
        <v>115.51769532878427</v>
      </c>
      <c r="R33" s="122">
        <f>Q33-100</f>
        <v>15.517695328784271</v>
      </c>
      <c r="S33" s="78"/>
    </row>
    <row r="34" spans="1:24" s="80" customFormat="1" ht="23.25" x14ac:dyDescent="0.25">
      <c r="A34" s="77" t="s">
        <v>146</v>
      </c>
      <c r="B34" s="130" t="s">
        <v>57</v>
      </c>
      <c r="C34" s="65" t="s">
        <v>58</v>
      </c>
      <c r="D34" s="119">
        <v>32000</v>
      </c>
      <c r="E34" s="119">
        <v>24922.799999999999</v>
      </c>
      <c r="F34" s="119">
        <f t="shared" si="5"/>
        <v>2558.1509999999998</v>
      </c>
      <c r="G34" s="119">
        <v>2558.1509999999998</v>
      </c>
      <c r="H34" s="120">
        <v>2450</v>
      </c>
      <c r="I34" s="121">
        <f t="shared" si="6"/>
        <v>108.15099999999984</v>
      </c>
      <c r="J34" s="122">
        <f t="shared" si="21"/>
        <v>104.41432653061224</v>
      </c>
      <c r="K34" s="117">
        <f t="shared" si="10"/>
        <v>2666.6666666666665</v>
      </c>
      <c r="L34" s="121">
        <f t="shared" si="7"/>
        <v>-108.51566666666668</v>
      </c>
      <c r="M34" s="122">
        <f t="shared" si="8"/>
        <v>95.930662499999997</v>
      </c>
      <c r="N34" s="122">
        <f t="shared" si="11"/>
        <v>7.9942218749999991</v>
      </c>
      <c r="O34" s="119">
        <v>1816.0029999999999</v>
      </c>
      <c r="P34" s="121">
        <f t="shared" si="9"/>
        <v>742.14799999999991</v>
      </c>
      <c r="Q34" s="122">
        <f t="shared" si="22"/>
        <v>140.86711310498936</v>
      </c>
      <c r="R34" s="122">
        <f>Q34-100</f>
        <v>40.867113104989357</v>
      </c>
      <c r="S34" s="79"/>
    </row>
    <row r="35" spans="1:24" s="80" customFormat="1" ht="39" x14ac:dyDescent="0.25">
      <c r="A35" s="77" t="s">
        <v>147</v>
      </c>
      <c r="B35" s="130" t="s">
        <v>76</v>
      </c>
      <c r="C35" s="65" t="s">
        <v>73</v>
      </c>
      <c r="D35" s="119">
        <v>1250</v>
      </c>
      <c r="E35" s="119">
        <v>1400</v>
      </c>
      <c r="F35" s="119">
        <f t="shared" si="5"/>
        <v>109.502</v>
      </c>
      <c r="G35" s="119">
        <v>109.502</v>
      </c>
      <c r="H35" s="120">
        <v>102</v>
      </c>
      <c r="I35" s="121">
        <f t="shared" si="6"/>
        <v>7.5019999999999953</v>
      </c>
      <c r="J35" s="122">
        <f t="shared" si="21"/>
        <v>107.3549019607843</v>
      </c>
      <c r="K35" s="117">
        <f t="shared" si="10"/>
        <v>104.16666666666667</v>
      </c>
      <c r="L35" s="121">
        <f t="shared" si="7"/>
        <v>5.3353333333333239</v>
      </c>
      <c r="M35" s="122">
        <f t="shared" si="8"/>
        <v>105.12191999999997</v>
      </c>
      <c r="N35" s="122">
        <f t="shared" si="11"/>
        <v>8.7601600000000008</v>
      </c>
      <c r="O35" s="119">
        <v>106.9</v>
      </c>
      <c r="P35" s="121">
        <f t="shared" si="9"/>
        <v>2.6019999999999897</v>
      </c>
      <c r="Q35" s="122">
        <f t="shared" si="22"/>
        <v>102.43405051449952</v>
      </c>
    </row>
    <row r="36" spans="1:24" s="80" customFormat="1" ht="82.5" customHeight="1" x14ac:dyDescent="0.25">
      <c r="A36" s="77" t="s">
        <v>148</v>
      </c>
      <c r="B36" s="131" t="s">
        <v>75</v>
      </c>
      <c r="C36" s="65" t="s">
        <v>74</v>
      </c>
      <c r="D36" s="119">
        <v>82</v>
      </c>
      <c r="E36" s="119">
        <v>140</v>
      </c>
      <c r="F36" s="119">
        <f t="shared" si="5"/>
        <v>7.79</v>
      </c>
      <c r="G36" s="119">
        <v>7.79</v>
      </c>
      <c r="H36" s="120">
        <v>7.7</v>
      </c>
      <c r="I36" s="121">
        <f t="shared" si="6"/>
        <v>8.9999999999999858E-2</v>
      </c>
      <c r="J36" s="122">
        <f t="shared" si="21"/>
        <v>101.16883116883118</v>
      </c>
      <c r="K36" s="117">
        <f t="shared" si="10"/>
        <v>6.833333333333333</v>
      </c>
      <c r="L36" s="121">
        <f t="shared" si="7"/>
        <v>0.956666666666667</v>
      </c>
      <c r="M36" s="122">
        <f t="shared" si="8"/>
        <v>114.00000000000001</v>
      </c>
      <c r="N36" s="122">
        <f t="shared" si="11"/>
        <v>9.5</v>
      </c>
      <c r="O36" s="119">
        <v>2.33</v>
      </c>
      <c r="P36" s="121">
        <f t="shared" si="9"/>
        <v>5.46</v>
      </c>
      <c r="Q36" s="122">
        <f t="shared" si="22"/>
        <v>334.33476394849782</v>
      </c>
    </row>
    <row r="37" spans="1:24" s="76" customFormat="1" ht="39" x14ac:dyDescent="0.25">
      <c r="A37" s="72">
        <v>14</v>
      </c>
      <c r="B37" s="132" t="s">
        <v>171</v>
      </c>
      <c r="C37" s="73" t="s">
        <v>19</v>
      </c>
      <c r="D37" s="115">
        <v>12300</v>
      </c>
      <c r="E37" s="115">
        <v>12000</v>
      </c>
      <c r="F37" s="115">
        <f t="shared" si="5"/>
        <v>1496.537</v>
      </c>
      <c r="G37" s="115">
        <v>1496.537</v>
      </c>
      <c r="H37" s="116">
        <v>1489.5</v>
      </c>
      <c r="I37" s="117">
        <f t="shared" si="6"/>
        <v>7.0370000000000346</v>
      </c>
      <c r="J37" s="118">
        <f t="shared" si="21"/>
        <v>100.47244041624705</v>
      </c>
      <c r="K37" s="117">
        <f t="shared" si="10"/>
        <v>1025</v>
      </c>
      <c r="L37" s="117">
        <f t="shared" si="7"/>
        <v>471.53700000000003</v>
      </c>
      <c r="M37" s="118">
        <f t="shared" si="8"/>
        <v>146.00360975609757</v>
      </c>
      <c r="N37" s="118">
        <f t="shared" si="11"/>
        <v>12.166967479674797</v>
      </c>
      <c r="O37" s="115">
        <v>886.822</v>
      </c>
      <c r="P37" s="117">
        <f t="shared" si="9"/>
        <v>609.71500000000003</v>
      </c>
      <c r="Q37" s="118">
        <f t="shared" si="22"/>
        <v>168.75280495973263</v>
      </c>
    </row>
    <row r="38" spans="1:24" s="76" customFormat="1" ht="23.25" x14ac:dyDescent="0.25">
      <c r="A38" s="72">
        <f t="shared" ref="A38:A44" si="26">A37+1</f>
        <v>15</v>
      </c>
      <c r="B38" s="81" t="s">
        <v>52</v>
      </c>
      <c r="C38" s="73" t="s">
        <v>15</v>
      </c>
      <c r="D38" s="115">
        <v>600</v>
      </c>
      <c r="E38" s="115">
        <v>600.5</v>
      </c>
      <c r="F38" s="115">
        <f t="shared" si="5"/>
        <v>46.207000000000001</v>
      </c>
      <c r="G38" s="115">
        <v>46.207000000000001</v>
      </c>
      <c r="H38" s="116">
        <v>44</v>
      </c>
      <c r="I38" s="117">
        <f t="shared" si="6"/>
        <v>2.2070000000000007</v>
      </c>
      <c r="J38" s="118">
        <f t="shared" si="21"/>
        <v>105.0159090909091</v>
      </c>
      <c r="K38" s="117">
        <f t="shared" si="10"/>
        <v>50</v>
      </c>
      <c r="L38" s="117">
        <f t="shared" si="7"/>
        <v>-3.7929999999999993</v>
      </c>
      <c r="M38" s="118">
        <f t="shared" si="8"/>
        <v>92.414000000000001</v>
      </c>
      <c r="N38" s="118">
        <f t="shared" si="11"/>
        <v>7.7011666666666674</v>
      </c>
      <c r="O38" s="115">
        <v>33.802</v>
      </c>
      <c r="P38" s="117">
        <f t="shared" si="9"/>
        <v>12.405000000000001</v>
      </c>
      <c r="Q38" s="118">
        <f t="shared" si="22"/>
        <v>136.69901189278741</v>
      </c>
      <c r="R38" s="75">
        <f>100-Q38</f>
        <v>-36.699011892787411</v>
      </c>
    </row>
    <row r="39" spans="1:24" s="76" customFormat="1" ht="59.25" customHeight="1" x14ac:dyDescent="0.25">
      <c r="A39" s="72">
        <f t="shared" si="26"/>
        <v>16</v>
      </c>
      <c r="B39" s="81" t="s">
        <v>94</v>
      </c>
      <c r="C39" s="73" t="s">
        <v>93</v>
      </c>
      <c r="D39" s="115">
        <v>2.6</v>
      </c>
      <c r="E39" s="115">
        <v>2.5499999999999998</v>
      </c>
      <c r="F39" s="115">
        <f t="shared" si="5"/>
        <v>0</v>
      </c>
      <c r="G39" s="115">
        <v>0</v>
      </c>
      <c r="H39" s="116">
        <v>0</v>
      </c>
      <c r="I39" s="117">
        <f t="shared" si="6"/>
        <v>0</v>
      </c>
      <c r="J39" s="118"/>
      <c r="K39" s="117">
        <f t="shared" si="10"/>
        <v>0.21666666666666667</v>
      </c>
      <c r="L39" s="117">
        <f t="shared" si="7"/>
        <v>-0.21666666666666667</v>
      </c>
      <c r="M39" s="118"/>
      <c r="N39" s="118">
        <f t="shared" si="11"/>
        <v>0</v>
      </c>
      <c r="O39" s="115">
        <v>0</v>
      </c>
      <c r="P39" s="117">
        <f t="shared" si="9"/>
        <v>0</v>
      </c>
      <c r="Q39" s="118"/>
    </row>
    <row r="40" spans="1:24" s="76" customFormat="1" ht="23.25" x14ac:dyDescent="0.25">
      <c r="A40" s="72">
        <f t="shared" si="26"/>
        <v>17</v>
      </c>
      <c r="B40" s="103" t="s">
        <v>59</v>
      </c>
      <c r="C40" s="33" t="s">
        <v>60</v>
      </c>
      <c r="D40" s="115">
        <v>235</v>
      </c>
      <c r="E40" s="115">
        <v>70</v>
      </c>
      <c r="F40" s="115">
        <f t="shared" si="5"/>
        <v>0</v>
      </c>
      <c r="G40" s="115">
        <v>0</v>
      </c>
      <c r="H40" s="116">
        <v>0</v>
      </c>
      <c r="I40" s="117">
        <f t="shared" si="6"/>
        <v>0</v>
      </c>
      <c r="J40" s="118"/>
      <c r="K40" s="117">
        <f t="shared" si="10"/>
        <v>19.583333333333332</v>
      </c>
      <c r="L40" s="117">
        <f t="shared" si="7"/>
        <v>-19.583333333333332</v>
      </c>
      <c r="M40" s="118">
        <f t="shared" ref="M40:M46" si="27">F40/K40*100</f>
        <v>0</v>
      </c>
      <c r="N40" s="118">
        <f t="shared" si="11"/>
        <v>0</v>
      </c>
      <c r="O40" s="115">
        <v>0</v>
      </c>
      <c r="P40" s="117">
        <f t="shared" si="9"/>
        <v>0</v>
      </c>
      <c r="Q40" s="118"/>
    </row>
    <row r="41" spans="1:24" s="76" customFormat="1" ht="23.25" x14ac:dyDescent="0.25">
      <c r="A41" s="72">
        <f t="shared" si="26"/>
        <v>18</v>
      </c>
      <c r="B41" s="81" t="s">
        <v>8</v>
      </c>
      <c r="C41" s="73" t="s">
        <v>20</v>
      </c>
      <c r="D41" s="115">
        <v>1700</v>
      </c>
      <c r="E41" s="115">
        <v>1400</v>
      </c>
      <c r="F41" s="115">
        <f t="shared" ref="F41:F55" si="28">SUM(G41:G41)</f>
        <v>229.78800000000001</v>
      </c>
      <c r="G41" s="115">
        <v>229.78800000000001</v>
      </c>
      <c r="H41" s="116">
        <v>200</v>
      </c>
      <c r="I41" s="117">
        <f t="shared" ref="I41:I55" si="29">F41-H41</f>
        <v>29.788000000000011</v>
      </c>
      <c r="J41" s="118">
        <f>F41/H41*100</f>
        <v>114.89400000000001</v>
      </c>
      <c r="K41" s="117">
        <f t="shared" si="10"/>
        <v>141.66666666666666</v>
      </c>
      <c r="L41" s="117">
        <f t="shared" ref="L41:L55" si="30">F41-K41</f>
        <v>88.121333333333354</v>
      </c>
      <c r="M41" s="118">
        <f t="shared" si="27"/>
        <v>162.20329411764706</v>
      </c>
      <c r="N41" s="118">
        <f t="shared" si="11"/>
        <v>13.51694117647059</v>
      </c>
      <c r="O41" s="115">
        <v>161.375</v>
      </c>
      <c r="P41" s="117">
        <f t="shared" ref="P41:P55" si="31">F41-O41</f>
        <v>68.413000000000011</v>
      </c>
      <c r="Q41" s="118">
        <f>F41/O41*100</f>
        <v>142.39380325329202</v>
      </c>
      <c r="U41" s="76">
        <v>246438.04</v>
      </c>
    </row>
    <row r="42" spans="1:24" s="76" customFormat="1" ht="123.75" customHeight="1" x14ac:dyDescent="0.25">
      <c r="A42" s="72">
        <f t="shared" si="26"/>
        <v>19</v>
      </c>
      <c r="B42" s="81" t="s">
        <v>51</v>
      </c>
      <c r="C42" s="73" t="s">
        <v>46</v>
      </c>
      <c r="D42" s="115">
        <v>1000</v>
      </c>
      <c r="E42" s="115">
        <v>1000</v>
      </c>
      <c r="F42" s="115">
        <f t="shared" si="28"/>
        <v>162.79300000000001</v>
      </c>
      <c r="G42" s="115">
        <v>162.79300000000001</v>
      </c>
      <c r="H42" s="116">
        <v>162</v>
      </c>
      <c r="I42" s="117">
        <f t="shared" si="29"/>
        <v>0.79300000000000637</v>
      </c>
      <c r="J42" s="118">
        <f>F42/H42*100</f>
        <v>100.48950617283951</v>
      </c>
      <c r="K42" s="117">
        <f t="shared" si="10"/>
        <v>83.333333333333329</v>
      </c>
      <c r="L42" s="117">
        <f t="shared" si="30"/>
        <v>79.459666666666678</v>
      </c>
      <c r="M42" s="118">
        <f t="shared" si="27"/>
        <v>195.35160000000002</v>
      </c>
      <c r="N42" s="118">
        <f t="shared" si="11"/>
        <v>16.279299999999999</v>
      </c>
      <c r="O42" s="115">
        <v>2.294</v>
      </c>
      <c r="P42" s="117">
        <f t="shared" si="31"/>
        <v>160.499</v>
      </c>
      <c r="Q42" s="118">
        <f>F42/O42*100</f>
        <v>7096.469049694856</v>
      </c>
    </row>
    <row r="43" spans="1:24" s="76" customFormat="1" ht="58.5" x14ac:dyDescent="0.25">
      <c r="A43" s="72">
        <f t="shared" si="26"/>
        <v>20</v>
      </c>
      <c r="B43" s="81" t="s">
        <v>122</v>
      </c>
      <c r="C43" s="73" t="s">
        <v>121</v>
      </c>
      <c r="D43" s="115">
        <v>1</v>
      </c>
      <c r="E43" s="115">
        <v>15</v>
      </c>
      <c r="F43" s="115">
        <f t="shared" si="28"/>
        <v>0</v>
      </c>
      <c r="G43" s="115">
        <v>0</v>
      </c>
      <c r="H43" s="116">
        <v>0</v>
      </c>
      <c r="I43" s="117">
        <f t="shared" si="29"/>
        <v>0</v>
      </c>
      <c r="J43" s="118"/>
      <c r="K43" s="117">
        <f t="shared" si="10"/>
        <v>8.3333333333333329E-2</v>
      </c>
      <c r="L43" s="117">
        <f t="shared" si="30"/>
        <v>-8.3333333333333329E-2</v>
      </c>
      <c r="M43" s="118">
        <f t="shared" si="27"/>
        <v>0</v>
      </c>
      <c r="N43" s="118">
        <f t="shared" si="11"/>
        <v>0</v>
      </c>
      <c r="O43" s="115">
        <v>0</v>
      </c>
      <c r="P43" s="117">
        <f t="shared" si="31"/>
        <v>0</v>
      </c>
      <c r="Q43" s="118"/>
      <c r="S43" s="74">
        <f>F45-F41</f>
        <v>303309.93900000007</v>
      </c>
      <c r="T43" s="74">
        <f>O45-O41</f>
        <v>237133.86899999995</v>
      </c>
      <c r="U43" s="75">
        <f>S43/T43</f>
        <v>1.2790662939843491</v>
      </c>
    </row>
    <row r="44" spans="1:24" s="76" customFormat="1" ht="29.25" customHeight="1" x14ac:dyDescent="0.25">
      <c r="A44" s="72">
        <f t="shared" si="26"/>
        <v>21</v>
      </c>
      <c r="B44" s="81" t="s">
        <v>82</v>
      </c>
      <c r="C44" s="73" t="s">
        <v>81</v>
      </c>
      <c r="D44" s="115">
        <v>1</v>
      </c>
      <c r="E44" s="115">
        <v>4.4000000000000004</v>
      </c>
      <c r="F44" s="115">
        <f t="shared" si="28"/>
        <v>0</v>
      </c>
      <c r="G44" s="115">
        <v>0</v>
      </c>
      <c r="H44" s="116">
        <v>0</v>
      </c>
      <c r="I44" s="117">
        <f t="shared" si="29"/>
        <v>0</v>
      </c>
      <c r="J44" s="118"/>
      <c r="K44" s="117">
        <f t="shared" si="10"/>
        <v>8.3333333333333329E-2</v>
      </c>
      <c r="L44" s="117">
        <f t="shared" si="30"/>
        <v>-8.3333333333333329E-2</v>
      </c>
      <c r="M44" s="118">
        <f t="shared" si="27"/>
        <v>0</v>
      </c>
      <c r="N44" s="118">
        <f t="shared" si="11"/>
        <v>0</v>
      </c>
      <c r="O44" s="115">
        <v>0</v>
      </c>
      <c r="P44" s="117">
        <f t="shared" si="31"/>
        <v>0</v>
      </c>
      <c r="Q44" s="118"/>
    </row>
    <row r="45" spans="1:24" s="87" customFormat="1" ht="31.5" customHeight="1" x14ac:dyDescent="0.3">
      <c r="A45" s="82"/>
      <c r="B45" s="83" t="s">
        <v>168</v>
      </c>
      <c r="C45" s="84"/>
      <c r="D45" s="84">
        <f>D7+D8+D9+D14+D18+D24+D25+D26+D27+D28+D29+D30+D32+D37+D38+D39+D40+D41+D42+D44+D43+D31</f>
        <v>4389459.9849999994</v>
      </c>
      <c r="E45" s="84">
        <f>E7+E8+E9+E14+E18+E24+E25+E26+E27+E28+E29+E30+E32+E37+E38+E39+E40+E41+E42+E44+E43</f>
        <v>3751621.3889999995</v>
      </c>
      <c r="F45" s="84">
        <f t="shared" si="28"/>
        <v>303539.72700000007</v>
      </c>
      <c r="G45" s="84">
        <f>G7+G8+G9+G14+G18+G24+G25+G26+G27+G28+G29+G30+G32+G37+G38+G39+G40+G41+G42+G44+G43+G31</f>
        <v>303539.72700000007</v>
      </c>
      <c r="H45" s="84">
        <f>H7+H8+H9+H14+H18+H24+H25+H26+H27+H28+H29+H30+H32+H37+H38+H39+H40+H41+H42+H44+H43+H31</f>
        <v>276524.78500000003</v>
      </c>
      <c r="I45" s="85">
        <f t="shared" si="29"/>
        <v>27014.942000000039</v>
      </c>
      <c r="J45" s="86">
        <f>F45/H45*100</f>
        <v>109.76944688701234</v>
      </c>
      <c r="K45" s="84">
        <f>K7+K8+K9+K14+K18+K24+K25+K26+K27+K28+K29+K30+K32+K37+K38+K39+K40+K41+K42+K44+K43+K31</f>
        <v>365788.3320833334</v>
      </c>
      <c r="L45" s="85">
        <f t="shared" si="30"/>
        <v>-62248.605083333328</v>
      </c>
      <c r="M45" s="86">
        <f t="shared" si="27"/>
        <v>82.982342621811142</v>
      </c>
      <c r="N45" s="86">
        <f t="shared" si="11"/>
        <v>6.9151952184842642</v>
      </c>
      <c r="O45" s="84">
        <f>O7+O8+O9+O14+O18+O24+O25+O26+O27+O28+O29+O30+O32+O37+O38+O39+O40+O41+O42+O44+O43</f>
        <v>237295.24399999995</v>
      </c>
      <c r="P45" s="85">
        <f t="shared" si="31"/>
        <v>66244.483000000124</v>
      </c>
      <c r="Q45" s="86">
        <f>F45/O45*100</f>
        <v>127.91648154566475</v>
      </c>
      <c r="R45" s="88">
        <v>231503.71900000001</v>
      </c>
      <c r="S45" s="88">
        <f>R45-O45</f>
        <v>-5791.524999999936</v>
      </c>
      <c r="V45" s="88" t="e">
        <f>#REF!-#REF!-#REF!</f>
        <v>#REF!</v>
      </c>
      <c r="X45" s="87">
        <v>294547.38299999997</v>
      </c>
    </row>
    <row r="46" spans="1:24" s="10" customFormat="1" ht="36.75" customHeight="1" x14ac:dyDescent="0.25">
      <c r="A46" s="24">
        <v>1</v>
      </c>
      <c r="B46" s="58" t="s">
        <v>123</v>
      </c>
      <c r="C46" s="25" t="s">
        <v>53</v>
      </c>
      <c r="D46" s="123">
        <v>855684.1</v>
      </c>
      <c r="E46" s="123">
        <v>717803.4</v>
      </c>
      <c r="F46" s="115">
        <f t="shared" si="28"/>
        <v>65887.7</v>
      </c>
      <c r="G46" s="115">
        <v>65887.7</v>
      </c>
      <c r="H46" s="115">
        <v>65887.7</v>
      </c>
      <c r="I46" s="117">
        <f t="shared" si="29"/>
        <v>0</v>
      </c>
      <c r="J46" s="118">
        <f>F46/H46*100</f>
        <v>100</v>
      </c>
      <c r="K46" s="115">
        <f>D46</f>
        <v>855684.1</v>
      </c>
      <c r="L46" s="117">
        <f t="shared" si="30"/>
        <v>-789796.4</v>
      </c>
      <c r="M46" s="118">
        <f t="shared" si="27"/>
        <v>7.7000028398330649</v>
      </c>
      <c r="N46" s="118">
        <f t="shared" si="11"/>
        <v>7.7000028398330649</v>
      </c>
      <c r="O46" s="115">
        <v>44804.3</v>
      </c>
      <c r="P46" s="117">
        <f t="shared" si="31"/>
        <v>21083.399999999994</v>
      </c>
      <c r="Q46" s="118">
        <f>F46/O46*100</f>
        <v>147.05664411674769</v>
      </c>
      <c r="R46" s="43"/>
      <c r="S46" s="43"/>
      <c r="T46" s="43"/>
      <c r="U46" s="45"/>
    </row>
    <row r="47" spans="1:24" s="10" customFormat="1" ht="58.5" x14ac:dyDescent="0.25">
      <c r="A47" s="24">
        <f>A46+1</f>
        <v>2</v>
      </c>
      <c r="B47" s="136" t="s">
        <v>124</v>
      </c>
      <c r="C47" s="139" t="s">
        <v>108</v>
      </c>
      <c r="D47" s="123">
        <v>29000</v>
      </c>
      <c r="E47" s="123">
        <v>0</v>
      </c>
      <c r="F47" s="115">
        <f t="shared" si="28"/>
        <v>2416.6999999999998</v>
      </c>
      <c r="G47" s="115">
        <v>2416.6999999999998</v>
      </c>
      <c r="H47" s="115">
        <v>2416.6999999999998</v>
      </c>
      <c r="I47" s="117">
        <f t="shared" si="29"/>
        <v>0</v>
      </c>
      <c r="J47" s="118">
        <f>F47/H47*100</f>
        <v>100</v>
      </c>
      <c r="K47" s="115">
        <f t="shared" ref="K47:K50" si="32">D47</f>
        <v>29000</v>
      </c>
      <c r="L47" s="117">
        <f t="shared" si="30"/>
        <v>-26583.3</v>
      </c>
      <c r="M47" s="118">
        <f t="shared" ref="M47" si="33">F47/K47*100</f>
        <v>8.333448275862068</v>
      </c>
      <c r="N47" s="118">
        <f t="shared" ref="N47" si="34">F47/D47*100</f>
        <v>8.333448275862068</v>
      </c>
      <c r="O47" s="115">
        <v>0</v>
      </c>
      <c r="P47" s="117">
        <f t="shared" si="31"/>
        <v>2416.6999999999998</v>
      </c>
      <c r="Q47" s="118"/>
      <c r="R47" s="43"/>
      <c r="S47" s="43"/>
      <c r="T47" s="43"/>
      <c r="U47" s="45"/>
    </row>
    <row r="48" spans="1:24" s="10" customFormat="1" ht="54" customHeight="1" x14ac:dyDescent="0.25">
      <c r="A48" s="24">
        <f t="shared" ref="A48:A50" si="35">A47+1</f>
        <v>3</v>
      </c>
      <c r="B48" s="136" t="s">
        <v>127</v>
      </c>
      <c r="C48" s="139" t="s">
        <v>117</v>
      </c>
      <c r="D48" s="123">
        <v>16764.740000000002</v>
      </c>
      <c r="E48" s="123">
        <v>11474.77</v>
      </c>
      <c r="F48" s="115">
        <f t="shared" si="28"/>
        <v>1290.8869999999999</v>
      </c>
      <c r="G48" s="115">
        <v>1290.8869999999999</v>
      </c>
      <c r="H48" s="116">
        <v>1290.8869999999999</v>
      </c>
      <c r="I48" s="117">
        <f t="shared" si="29"/>
        <v>0</v>
      </c>
      <c r="J48" s="118">
        <f>F48/H48*100</f>
        <v>100</v>
      </c>
      <c r="K48" s="115">
        <f t="shared" si="32"/>
        <v>16764.740000000002</v>
      </c>
      <c r="L48" s="117">
        <f t="shared" si="30"/>
        <v>-15473.853000000001</v>
      </c>
      <c r="M48" s="118">
        <f>F48/K48*100</f>
        <v>7.7000120490982846</v>
      </c>
      <c r="N48" s="118">
        <f t="shared" si="11"/>
        <v>7.7000120490982846</v>
      </c>
      <c r="O48" s="115">
        <v>716.24</v>
      </c>
      <c r="P48" s="117">
        <f t="shared" si="31"/>
        <v>574.64699999999993</v>
      </c>
      <c r="Q48" s="118">
        <f>F48/O48*100</f>
        <v>180.23106779850329</v>
      </c>
    </row>
    <row r="49" spans="1:22" s="10" customFormat="1" ht="58.5" x14ac:dyDescent="0.25">
      <c r="A49" s="24">
        <f t="shared" si="35"/>
        <v>4</v>
      </c>
      <c r="B49" s="136" t="s">
        <v>128</v>
      </c>
      <c r="C49" s="139">
        <v>41051200</v>
      </c>
      <c r="D49" s="123">
        <v>3718.5</v>
      </c>
      <c r="E49" s="123">
        <v>4100.6319999999996</v>
      </c>
      <c r="F49" s="115">
        <f t="shared" si="28"/>
        <v>82.944999999999993</v>
      </c>
      <c r="G49" s="115">
        <v>82.944999999999993</v>
      </c>
      <c r="H49" s="116">
        <v>82.944999999999993</v>
      </c>
      <c r="I49" s="117">
        <f t="shared" si="29"/>
        <v>0</v>
      </c>
      <c r="J49" s="118">
        <f>F49/H49*100</f>
        <v>100</v>
      </c>
      <c r="K49" s="115">
        <f t="shared" si="32"/>
        <v>3718.5</v>
      </c>
      <c r="L49" s="117">
        <f t="shared" si="30"/>
        <v>-3635.5549999999998</v>
      </c>
      <c r="M49" s="118">
        <f>F49/K49*100</f>
        <v>2.2306037380664243</v>
      </c>
      <c r="N49" s="118">
        <f t="shared" si="11"/>
        <v>2.2306037380664243</v>
      </c>
      <c r="O49" s="115">
        <v>203.22900000000001</v>
      </c>
      <c r="P49" s="117">
        <f t="shared" si="31"/>
        <v>-120.28400000000002</v>
      </c>
      <c r="Q49" s="118">
        <f>F49/O49*100</f>
        <v>40.813564993185018</v>
      </c>
    </row>
    <row r="50" spans="1:22" s="10" customFormat="1" ht="58.5" x14ac:dyDescent="0.25">
      <c r="A50" s="24">
        <f t="shared" si="35"/>
        <v>5</v>
      </c>
      <c r="B50" s="141" t="s">
        <v>150</v>
      </c>
      <c r="C50" s="139" t="s">
        <v>126</v>
      </c>
      <c r="D50" s="123">
        <v>0</v>
      </c>
      <c r="E50" s="123">
        <v>7100</v>
      </c>
      <c r="F50" s="115">
        <f t="shared" si="28"/>
        <v>0</v>
      </c>
      <c r="G50" s="115">
        <v>0</v>
      </c>
      <c r="H50" s="116">
        <v>0</v>
      </c>
      <c r="I50" s="117">
        <f t="shared" si="29"/>
        <v>0</v>
      </c>
      <c r="J50" s="118"/>
      <c r="K50" s="115">
        <f t="shared" si="32"/>
        <v>0</v>
      </c>
      <c r="L50" s="117">
        <f t="shared" si="30"/>
        <v>0</v>
      </c>
      <c r="M50" s="118"/>
      <c r="N50" s="118"/>
      <c r="O50" s="115">
        <v>1183.3330000000001</v>
      </c>
      <c r="P50" s="117">
        <f t="shared" si="31"/>
        <v>-1183.3330000000001</v>
      </c>
      <c r="Q50" s="118"/>
      <c r="R50" s="115"/>
      <c r="S50" s="115"/>
    </row>
    <row r="51" spans="1:22" s="10" customFormat="1" ht="23.25" x14ac:dyDescent="0.25">
      <c r="A51" s="24">
        <v>6</v>
      </c>
      <c r="B51" s="141" t="s">
        <v>125</v>
      </c>
      <c r="C51" s="139" t="s">
        <v>109</v>
      </c>
      <c r="D51" s="123">
        <f>SUM(D52:D55)</f>
        <v>4144</v>
      </c>
      <c r="E51" s="123">
        <f>SUM(E52:E55)</f>
        <v>3644</v>
      </c>
      <c r="F51" s="115">
        <f t="shared" si="28"/>
        <v>0</v>
      </c>
      <c r="G51" s="115">
        <f>SUM(G52:G55)</f>
        <v>0</v>
      </c>
      <c r="H51" s="115">
        <f>SUM(H52:H55)</f>
        <v>201.601</v>
      </c>
      <c r="I51" s="117">
        <f t="shared" si="29"/>
        <v>-201.601</v>
      </c>
      <c r="J51" s="118">
        <f t="shared" ref="J51:J55" si="36">F51/H51*100</f>
        <v>0</v>
      </c>
      <c r="K51" s="115">
        <f t="shared" ref="K51" si="37">H51</f>
        <v>201.601</v>
      </c>
      <c r="L51" s="117">
        <f t="shared" si="30"/>
        <v>-201.601</v>
      </c>
      <c r="M51" s="118">
        <f t="shared" ref="M51:M55" si="38">F51/K51*100</f>
        <v>0</v>
      </c>
      <c r="N51" s="118">
        <f t="shared" si="11"/>
        <v>0</v>
      </c>
      <c r="O51" s="115">
        <f>SUM(O52:O55)</f>
        <v>0</v>
      </c>
      <c r="P51" s="117">
        <f t="shared" si="31"/>
        <v>0</v>
      </c>
      <c r="Q51" s="118"/>
      <c r="R51" s="115">
        <v>5098.8379999999997</v>
      </c>
      <c r="S51" s="115">
        <f>R51-O51</f>
        <v>5098.8379999999997</v>
      </c>
    </row>
    <row r="52" spans="1:22" s="42" customFormat="1" ht="53.25" customHeight="1" x14ac:dyDescent="0.25">
      <c r="A52" s="41" t="s">
        <v>130</v>
      </c>
      <c r="B52" s="137" t="s">
        <v>151</v>
      </c>
      <c r="C52" s="102"/>
      <c r="D52" s="124">
        <v>105</v>
      </c>
      <c r="E52" s="124">
        <v>105</v>
      </c>
      <c r="F52" s="119">
        <f t="shared" si="28"/>
        <v>0</v>
      </c>
      <c r="G52" s="119">
        <v>0</v>
      </c>
      <c r="H52" s="120">
        <v>8.7520000000000007</v>
      </c>
      <c r="I52" s="121">
        <f t="shared" si="29"/>
        <v>-8.7520000000000007</v>
      </c>
      <c r="J52" s="122">
        <f t="shared" si="36"/>
        <v>0</v>
      </c>
      <c r="K52" s="119">
        <f t="shared" ref="K52:K55" si="39">D52</f>
        <v>105</v>
      </c>
      <c r="L52" s="121">
        <f t="shared" si="30"/>
        <v>-105</v>
      </c>
      <c r="M52" s="122">
        <f t="shared" si="38"/>
        <v>0</v>
      </c>
      <c r="N52" s="122">
        <f t="shared" si="11"/>
        <v>0</v>
      </c>
      <c r="O52" s="119">
        <v>0</v>
      </c>
      <c r="P52" s="121">
        <f t="shared" si="31"/>
        <v>0</v>
      </c>
      <c r="Q52" s="122"/>
    </row>
    <row r="53" spans="1:22" s="42" customFormat="1" ht="57.75" customHeight="1" x14ac:dyDescent="0.25">
      <c r="A53" s="41" t="s">
        <v>131</v>
      </c>
      <c r="B53" s="137" t="s">
        <v>152</v>
      </c>
      <c r="C53" s="102"/>
      <c r="D53" s="124">
        <v>1246.7</v>
      </c>
      <c r="E53" s="124">
        <v>1246.7</v>
      </c>
      <c r="F53" s="119">
        <f t="shared" si="28"/>
        <v>0</v>
      </c>
      <c r="G53" s="119">
        <v>0</v>
      </c>
      <c r="H53" s="120">
        <v>15.337</v>
      </c>
      <c r="I53" s="121">
        <f t="shared" si="29"/>
        <v>-15.337</v>
      </c>
      <c r="J53" s="122">
        <f t="shared" si="36"/>
        <v>0</v>
      </c>
      <c r="K53" s="119">
        <f t="shared" si="39"/>
        <v>1246.7</v>
      </c>
      <c r="L53" s="121">
        <f t="shared" si="30"/>
        <v>-1246.7</v>
      </c>
      <c r="M53" s="122">
        <f t="shared" si="38"/>
        <v>0</v>
      </c>
      <c r="N53" s="122">
        <f t="shared" si="11"/>
        <v>0</v>
      </c>
      <c r="O53" s="119">
        <v>0</v>
      </c>
      <c r="P53" s="121">
        <f t="shared" si="31"/>
        <v>0</v>
      </c>
      <c r="Q53" s="122"/>
    </row>
    <row r="54" spans="1:22" s="42" customFormat="1" ht="76.5" customHeight="1" x14ac:dyDescent="0.25">
      <c r="A54" s="41" t="s">
        <v>132</v>
      </c>
      <c r="B54" s="137" t="s">
        <v>153</v>
      </c>
      <c r="C54" s="102"/>
      <c r="D54" s="124">
        <v>292.3</v>
      </c>
      <c r="E54" s="124">
        <v>292.3</v>
      </c>
      <c r="F54" s="119">
        <f t="shared" si="28"/>
        <v>0</v>
      </c>
      <c r="G54" s="119">
        <v>0</v>
      </c>
      <c r="H54" s="120">
        <v>48.712000000000003</v>
      </c>
      <c r="I54" s="121">
        <f t="shared" si="29"/>
        <v>-48.712000000000003</v>
      </c>
      <c r="J54" s="122">
        <f t="shared" si="36"/>
        <v>0</v>
      </c>
      <c r="K54" s="119">
        <f t="shared" si="39"/>
        <v>292.3</v>
      </c>
      <c r="L54" s="121">
        <f t="shared" si="30"/>
        <v>-292.3</v>
      </c>
      <c r="M54" s="122">
        <f t="shared" si="38"/>
        <v>0</v>
      </c>
      <c r="N54" s="122">
        <f t="shared" si="11"/>
        <v>0</v>
      </c>
      <c r="O54" s="119">
        <v>0</v>
      </c>
      <c r="P54" s="121">
        <f t="shared" si="31"/>
        <v>0</v>
      </c>
      <c r="Q54" s="122"/>
    </row>
    <row r="55" spans="1:22" s="42" customFormat="1" ht="78.75" customHeight="1" x14ac:dyDescent="0.25">
      <c r="A55" s="41" t="s">
        <v>133</v>
      </c>
      <c r="B55" s="137" t="s">
        <v>154</v>
      </c>
      <c r="C55" s="102"/>
      <c r="D55" s="124">
        <v>2500</v>
      </c>
      <c r="E55" s="124">
        <v>2000</v>
      </c>
      <c r="F55" s="119">
        <f t="shared" si="28"/>
        <v>0</v>
      </c>
      <c r="G55" s="119">
        <v>0</v>
      </c>
      <c r="H55" s="120">
        <v>128.80000000000001</v>
      </c>
      <c r="I55" s="121">
        <f t="shared" si="29"/>
        <v>-128.80000000000001</v>
      </c>
      <c r="J55" s="122">
        <f t="shared" si="36"/>
        <v>0</v>
      </c>
      <c r="K55" s="119">
        <f t="shared" si="39"/>
        <v>2500</v>
      </c>
      <c r="L55" s="121">
        <f t="shared" si="30"/>
        <v>-2500</v>
      </c>
      <c r="M55" s="122">
        <f t="shared" si="38"/>
        <v>0</v>
      </c>
      <c r="N55" s="122">
        <f t="shared" si="11"/>
        <v>0</v>
      </c>
      <c r="O55" s="119">
        <v>0</v>
      </c>
      <c r="P55" s="121">
        <f t="shared" si="31"/>
        <v>0</v>
      </c>
      <c r="Q55" s="122"/>
    </row>
    <row r="56" spans="1:22" s="10" customFormat="1" ht="23.25" hidden="1" customHeight="1" x14ac:dyDescent="0.25">
      <c r="A56" s="24"/>
      <c r="B56" s="140"/>
      <c r="C56" s="25"/>
      <c r="D56" s="123"/>
      <c r="E56" s="123"/>
      <c r="F56" s="115"/>
      <c r="G56" s="115"/>
      <c r="H56" s="123"/>
      <c r="I56" s="117"/>
      <c r="J56" s="118"/>
      <c r="K56" s="123"/>
      <c r="L56" s="117"/>
      <c r="M56" s="118"/>
      <c r="N56" s="118" t="e">
        <f t="shared" si="11"/>
        <v>#DIV/0!</v>
      </c>
      <c r="O56" s="115"/>
      <c r="P56" s="121"/>
      <c r="Q56" s="118"/>
    </row>
    <row r="57" spans="1:22" s="49" customFormat="1" ht="33.75" customHeight="1" x14ac:dyDescent="0.3">
      <c r="A57" s="46"/>
      <c r="B57" s="50" t="s">
        <v>29</v>
      </c>
      <c r="C57" s="47"/>
      <c r="D57" s="48">
        <f>D60+D59</f>
        <v>909311.34</v>
      </c>
      <c r="E57" s="48" t="e">
        <f>E60+E59</f>
        <v>#REF!</v>
      </c>
      <c r="F57" s="48">
        <f>SUM(G57:G57)</f>
        <v>69678.231999999989</v>
      </c>
      <c r="G57" s="48">
        <f>G60+G59</f>
        <v>69678.231999999989</v>
      </c>
      <c r="H57" s="48">
        <f>H60+H59</f>
        <v>69879.832999999999</v>
      </c>
      <c r="I57" s="85">
        <f>F57-H57</f>
        <v>-201.60100000000966</v>
      </c>
      <c r="J57" s="86">
        <f>F57/H57*100</f>
        <v>99.71150331741633</v>
      </c>
      <c r="K57" s="48">
        <f>K60+K59</f>
        <v>905368.94099999999</v>
      </c>
      <c r="L57" s="85">
        <f>F57-K57</f>
        <v>-835690.70900000003</v>
      </c>
      <c r="M57" s="86">
        <f>F57/K57*100</f>
        <v>7.6961146825998732</v>
      </c>
      <c r="N57" s="86">
        <f t="shared" si="11"/>
        <v>7.6627475029619658</v>
      </c>
      <c r="O57" s="48">
        <f>O60+O59</f>
        <v>46907.102000000006</v>
      </c>
      <c r="P57" s="85">
        <f>F57-O57</f>
        <v>22771.129999999983</v>
      </c>
      <c r="Q57" s="86">
        <f>F57/O57*100</f>
        <v>148.54516486650567</v>
      </c>
    </row>
    <row r="58" spans="1:22" s="13" customFormat="1" ht="23.25" x14ac:dyDescent="0.25">
      <c r="A58" s="12"/>
      <c r="B58" s="162" t="s">
        <v>95</v>
      </c>
      <c r="C58" s="11"/>
      <c r="D58" s="125"/>
      <c r="E58" s="125"/>
      <c r="F58" s="125"/>
      <c r="G58" s="125"/>
      <c r="H58" s="125"/>
      <c r="I58" s="117"/>
      <c r="J58" s="118"/>
      <c r="K58" s="125"/>
      <c r="L58" s="89"/>
      <c r="M58" s="90"/>
      <c r="N58" s="90"/>
      <c r="O58" s="125"/>
      <c r="P58" s="89"/>
      <c r="Q58" s="90"/>
    </row>
    <row r="59" spans="1:22" s="13" customFormat="1" ht="39" customHeight="1" x14ac:dyDescent="0.25">
      <c r="A59" s="12"/>
      <c r="B59" s="155" t="s">
        <v>110</v>
      </c>
      <c r="C59" s="26"/>
      <c r="D59" s="55">
        <f>D47</f>
        <v>29000</v>
      </c>
      <c r="E59" s="55">
        <f>E47</f>
        <v>0</v>
      </c>
      <c r="F59" s="55">
        <f>SUM(G59:G59)</f>
        <v>2416.6999999999998</v>
      </c>
      <c r="G59" s="55">
        <f>G47</f>
        <v>2416.6999999999998</v>
      </c>
      <c r="H59" s="55">
        <f>H47</f>
        <v>2416.6999999999998</v>
      </c>
      <c r="I59" s="89">
        <f>F59-H59</f>
        <v>0</v>
      </c>
      <c r="J59" s="90">
        <f>F59/H59*100</f>
        <v>100</v>
      </c>
      <c r="K59" s="55">
        <f>K47</f>
        <v>29000</v>
      </c>
      <c r="L59" s="89">
        <f>F59-K59</f>
        <v>-26583.3</v>
      </c>
      <c r="M59" s="90">
        <f>F59/K59*100</f>
        <v>8.333448275862068</v>
      </c>
      <c r="N59" s="90">
        <f t="shared" si="11"/>
        <v>8.333448275862068</v>
      </c>
      <c r="O59" s="55">
        <f>O47</f>
        <v>0</v>
      </c>
      <c r="P59" s="89">
        <f>F59-O59</f>
        <v>2416.6999999999998</v>
      </c>
      <c r="Q59" s="90"/>
    </row>
    <row r="60" spans="1:22" s="13" customFormat="1" ht="39" customHeight="1" x14ac:dyDescent="0.25">
      <c r="A60" s="12"/>
      <c r="B60" s="155" t="s">
        <v>70</v>
      </c>
      <c r="C60" s="26"/>
      <c r="D60" s="55">
        <f>D61+D62</f>
        <v>880311.34</v>
      </c>
      <c r="E60" s="55" t="e">
        <f>E61+E62</f>
        <v>#REF!</v>
      </c>
      <c r="F60" s="55">
        <f>SUM(G60:G60)</f>
        <v>67261.531999999992</v>
      </c>
      <c r="G60" s="55">
        <f>G61+G62</f>
        <v>67261.531999999992</v>
      </c>
      <c r="H60" s="55">
        <f>H61+H62</f>
        <v>67463.133000000002</v>
      </c>
      <c r="I60" s="89">
        <f>F60-H60</f>
        <v>-201.60100000000966</v>
      </c>
      <c r="J60" s="90">
        <f>F60/H60*100</f>
        <v>99.701168636801953</v>
      </c>
      <c r="K60" s="55">
        <f>K61+K62</f>
        <v>876368.94099999999</v>
      </c>
      <c r="L60" s="89">
        <f>F60-K60</f>
        <v>-809107.40899999999</v>
      </c>
      <c r="M60" s="90">
        <f>F60/K60*100</f>
        <v>7.6750246218504445</v>
      </c>
      <c r="N60" s="90">
        <f t="shared" si="11"/>
        <v>7.6406526809026447</v>
      </c>
      <c r="O60" s="55">
        <f>O61+O62</f>
        <v>46907.102000000006</v>
      </c>
      <c r="P60" s="89">
        <f>F60-O60</f>
        <v>20354.429999999986</v>
      </c>
      <c r="Q60" s="90">
        <f>F60/O60*100</f>
        <v>143.39306657657082</v>
      </c>
    </row>
    <row r="61" spans="1:22" s="8" customFormat="1" ht="39" customHeight="1" x14ac:dyDescent="0.25">
      <c r="A61" s="14"/>
      <c r="B61" s="17" t="s">
        <v>99</v>
      </c>
      <c r="C61" s="17"/>
      <c r="D61" s="124">
        <f>D46</f>
        <v>855684.1</v>
      </c>
      <c r="E61" s="124" t="e">
        <f>E46+#REF!</f>
        <v>#REF!</v>
      </c>
      <c r="F61" s="124">
        <f>SUM(G61:G61)</f>
        <v>65887.7</v>
      </c>
      <c r="G61" s="124">
        <f t="shared" ref="G61:H61" si="40">G46</f>
        <v>65887.7</v>
      </c>
      <c r="H61" s="124">
        <f t="shared" si="40"/>
        <v>65887.7</v>
      </c>
      <c r="I61" s="121">
        <f>F61-H61</f>
        <v>0</v>
      </c>
      <c r="J61" s="122">
        <f>F61/H61*100</f>
        <v>100</v>
      </c>
      <c r="K61" s="124">
        <f>K46</f>
        <v>855684.1</v>
      </c>
      <c r="L61" s="121">
        <f>F61-K61</f>
        <v>-789796.4</v>
      </c>
      <c r="M61" s="122">
        <f>F61/K61*100</f>
        <v>7.7000028398330649</v>
      </c>
      <c r="N61" s="122">
        <f t="shared" si="11"/>
        <v>7.7000028398330649</v>
      </c>
      <c r="O61" s="124">
        <f>O46</f>
        <v>44804.3</v>
      </c>
      <c r="P61" s="121">
        <f>F61-O61</f>
        <v>21083.399999999994</v>
      </c>
      <c r="Q61" s="122">
        <f>F61/O61*100</f>
        <v>147.05664411674769</v>
      </c>
    </row>
    <row r="62" spans="1:22" s="8" customFormat="1" ht="39" customHeight="1" x14ac:dyDescent="0.25">
      <c r="A62" s="14"/>
      <c r="B62" s="163" t="s">
        <v>98</v>
      </c>
      <c r="C62" s="17"/>
      <c r="D62" s="124">
        <f>D48+D51+D49+D50</f>
        <v>24627.24</v>
      </c>
      <c r="E62" s="124">
        <f>E48+E51+E49+E50</f>
        <v>26319.402000000002</v>
      </c>
      <c r="F62" s="124">
        <f>SUM(G62:G62)</f>
        <v>1373.8319999999999</v>
      </c>
      <c r="G62" s="124">
        <f>G48+G51+G49+G50</f>
        <v>1373.8319999999999</v>
      </c>
      <c r="H62" s="124">
        <f>H48+H51+H49+H50</f>
        <v>1575.4329999999998</v>
      </c>
      <c r="I62" s="121">
        <f>F62-H62</f>
        <v>-201.60099999999989</v>
      </c>
      <c r="J62" s="122">
        <f>F62/H62*100</f>
        <v>87.20345454233852</v>
      </c>
      <c r="K62" s="124">
        <f>K48+K51+K49+K50</f>
        <v>20684.841</v>
      </c>
      <c r="L62" s="121">
        <f>F62-K62</f>
        <v>-19311.009000000002</v>
      </c>
      <c r="M62" s="122">
        <f>F62/K62*100</f>
        <v>6.6417334317435639</v>
      </c>
      <c r="N62" s="122">
        <f t="shared" si="11"/>
        <v>5.5785057521671115</v>
      </c>
      <c r="O62" s="124">
        <f>O48+O51+O49+O50</f>
        <v>2102.8020000000001</v>
      </c>
      <c r="P62" s="121">
        <f>F62-O62</f>
        <v>-728.97000000000025</v>
      </c>
      <c r="Q62" s="122">
        <f>F62/O62*100</f>
        <v>65.333398008942339</v>
      </c>
    </row>
    <row r="63" spans="1:22" s="8" customFormat="1" ht="23.25" x14ac:dyDescent="0.25">
      <c r="A63" s="14"/>
      <c r="B63" s="44"/>
      <c r="C63" s="17"/>
      <c r="D63" s="124"/>
      <c r="E63" s="124"/>
      <c r="F63" s="124"/>
      <c r="G63" s="124"/>
      <c r="H63" s="124"/>
      <c r="I63" s="121"/>
      <c r="J63" s="122"/>
      <c r="K63" s="124"/>
      <c r="L63" s="121"/>
      <c r="M63" s="122"/>
      <c r="N63" s="122"/>
      <c r="O63" s="124"/>
      <c r="P63" s="121"/>
      <c r="Q63" s="122"/>
    </row>
    <row r="64" spans="1:22" s="152" customFormat="1" ht="36.75" customHeight="1" x14ac:dyDescent="0.3">
      <c r="A64" s="145"/>
      <c r="B64" s="146" t="s">
        <v>28</v>
      </c>
      <c r="C64" s="147"/>
      <c r="D64" s="148">
        <f>D57+D45</f>
        <v>5298771.3249999993</v>
      </c>
      <c r="E64" s="148" t="e">
        <f>E57+E45</f>
        <v>#REF!</v>
      </c>
      <c r="F64" s="148">
        <f>SUM(G64:G64)</f>
        <v>373217.95900000003</v>
      </c>
      <c r="G64" s="148">
        <f>G57+G45</f>
        <v>373217.95900000003</v>
      </c>
      <c r="H64" s="148">
        <f>H57+H45</f>
        <v>346404.61800000002</v>
      </c>
      <c r="I64" s="149">
        <f>F64-H64</f>
        <v>26813.341000000015</v>
      </c>
      <c r="J64" s="150">
        <f>F64/H64*100</f>
        <v>107.74046869086487</v>
      </c>
      <c r="K64" s="148">
        <f>K57+K45</f>
        <v>1271157.2730833334</v>
      </c>
      <c r="L64" s="149">
        <f>F64-K64</f>
        <v>-897939.31408333336</v>
      </c>
      <c r="M64" s="150">
        <f>F64/K64*100</f>
        <v>29.360486456150177</v>
      </c>
      <c r="N64" s="150">
        <f t="shared" si="11"/>
        <v>7.0434811413568612</v>
      </c>
      <c r="O64" s="148">
        <f>O57+O45</f>
        <v>284202.34599999996</v>
      </c>
      <c r="P64" s="149">
        <f>F64-O64</f>
        <v>89015.61300000007</v>
      </c>
      <c r="Q64" s="150">
        <f>F64/O64*100</f>
        <v>131.32120978339853</v>
      </c>
      <c r="R64" s="148">
        <v>294949.55</v>
      </c>
      <c r="S64" s="151">
        <f>R64-O64</f>
        <v>10747.204000000027</v>
      </c>
      <c r="V64" s="151">
        <f>2708373.649-H64</f>
        <v>2361969.0310000004</v>
      </c>
    </row>
    <row r="65" spans="1:18" s="10" customFormat="1" ht="31.5" customHeight="1" x14ac:dyDescent="0.25">
      <c r="A65" s="178" t="s">
        <v>9</v>
      </c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80"/>
    </row>
    <row r="66" spans="1:18" s="59" customFormat="1" ht="39.75" customHeight="1" x14ac:dyDescent="0.3">
      <c r="A66" s="24">
        <v>1</v>
      </c>
      <c r="B66" s="58" t="s">
        <v>12</v>
      </c>
      <c r="C66" s="25" t="s">
        <v>21</v>
      </c>
      <c r="D66" s="123">
        <f>D67+D68</f>
        <v>94437.012000000002</v>
      </c>
      <c r="E66" s="123">
        <f t="shared" ref="E66" si="41">D66</f>
        <v>94437.012000000002</v>
      </c>
      <c r="F66" s="115">
        <f t="shared" ref="F66:F79" si="42">SUM(G66:G66)</f>
        <v>6852.4160000000002</v>
      </c>
      <c r="G66" s="115">
        <f t="shared" ref="G66:H66" si="43">G67+G68</f>
        <v>6852.4160000000002</v>
      </c>
      <c r="H66" s="116">
        <f t="shared" si="43"/>
        <v>7869.7510000000002</v>
      </c>
      <c r="I66" s="117">
        <f t="shared" ref="I66:I79" si="44">F66-H66</f>
        <v>-1017.335</v>
      </c>
      <c r="J66" s="118">
        <f>F66/H66*100</f>
        <v>87.072843854907219</v>
      </c>
      <c r="K66" s="117">
        <f t="shared" ref="K66" si="45">K67+K68</f>
        <v>7869.7510000000002</v>
      </c>
      <c r="L66" s="117">
        <f t="shared" ref="L66:L79" si="46">F66-K66</f>
        <v>-1017.335</v>
      </c>
      <c r="M66" s="118">
        <f>F66/K66*100</f>
        <v>87.072843854907219</v>
      </c>
      <c r="N66" s="118">
        <f t="shared" si="11"/>
        <v>7.2560703212422695</v>
      </c>
      <c r="O66" s="115">
        <f t="shared" ref="O66" si="47">O67+O68</f>
        <v>3860.3040000000001</v>
      </c>
      <c r="P66" s="117">
        <f t="shared" ref="P66:P79" si="48">F66-O66</f>
        <v>2992.1120000000001</v>
      </c>
      <c r="Q66" s="118">
        <f>F66/O66*100</f>
        <v>177.50975052741958</v>
      </c>
    </row>
    <row r="67" spans="1:18" s="62" customFormat="1" ht="39" x14ac:dyDescent="0.3">
      <c r="A67" s="41" t="s">
        <v>115</v>
      </c>
      <c r="B67" s="101" t="s">
        <v>111</v>
      </c>
      <c r="C67" s="17" t="s">
        <v>112</v>
      </c>
      <c r="D67" s="124">
        <v>94437.012000000002</v>
      </c>
      <c r="E67" s="124">
        <v>70446.198000000004</v>
      </c>
      <c r="F67" s="119">
        <f t="shared" si="42"/>
        <v>5371.9639999999999</v>
      </c>
      <c r="G67" s="119">
        <v>5371.9639999999999</v>
      </c>
      <c r="H67" s="120">
        <v>7869.7510000000002</v>
      </c>
      <c r="I67" s="121">
        <f t="shared" si="44"/>
        <v>-2497.7870000000003</v>
      </c>
      <c r="J67" s="122">
        <f>F67/H67*100</f>
        <v>68.26091448128409</v>
      </c>
      <c r="K67" s="121">
        <f t="shared" ref="K67" si="49">D67/12*1</f>
        <v>7869.7510000000002</v>
      </c>
      <c r="L67" s="121">
        <f t="shared" si="46"/>
        <v>-2497.7870000000003</v>
      </c>
      <c r="M67" s="122">
        <f>F67/K67*100</f>
        <v>68.26091448128409</v>
      </c>
      <c r="N67" s="122">
        <f t="shared" si="11"/>
        <v>5.6884095401070072</v>
      </c>
      <c r="O67" s="119">
        <v>3552.8009999999999</v>
      </c>
      <c r="P67" s="121">
        <f t="shared" si="48"/>
        <v>1819.163</v>
      </c>
      <c r="Q67" s="122">
        <f>F67/O67*100</f>
        <v>151.20362778551345</v>
      </c>
    </row>
    <row r="68" spans="1:18" s="62" customFormat="1" ht="38.25" customHeight="1" x14ac:dyDescent="0.3">
      <c r="A68" s="41" t="s">
        <v>116</v>
      </c>
      <c r="B68" s="101" t="s">
        <v>113</v>
      </c>
      <c r="C68" s="17" t="s">
        <v>114</v>
      </c>
      <c r="D68" s="124">
        <v>0</v>
      </c>
      <c r="E68" s="124">
        <v>0</v>
      </c>
      <c r="F68" s="119">
        <f t="shared" si="42"/>
        <v>1480.452</v>
      </c>
      <c r="G68" s="119">
        <v>1480.452</v>
      </c>
      <c r="H68" s="120">
        <v>0</v>
      </c>
      <c r="I68" s="121">
        <f t="shared" si="44"/>
        <v>1480.452</v>
      </c>
      <c r="J68" s="122"/>
      <c r="K68" s="121"/>
      <c r="L68" s="121">
        <f t="shared" si="46"/>
        <v>1480.452</v>
      </c>
      <c r="M68" s="122"/>
      <c r="N68" s="122"/>
      <c r="O68" s="119">
        <v>307.50299999999999</v>
      </c>
      <c r="P68" s="121">
        <f t="shared" si="48"/>
        <v>1172.9490000000001</v>
      </c>
      <c r="Q68" s="122">
        <f>F68/O68*100</f>
        <v>481.44310787211833</v>
      </c>
    </row>
    <row r="69" spans="1:18" s="59" customFormat="1" ht="47.25" customHeight="1" x14ac:dyDescent="0.3">
      <c r="A69" s="24">
        <v>2</v>
      </c>
      <c r="B69" s="114" t="s">
        <v>32</v>
      </c>
      <c r="C69" s="25" t="s">
        <v>31</v>
      </c>
      <c r="D69" s="123">
        <v>2313.6999999999998</v>
      </c>
      <c r="E69" s="123">
        <v>2267.6</v>
      </c>
      <c r="F69" s="115">
        <f t="shared" si="42"/>
        <v>12.451000000000001</v>
      </c>
      <c r="G69" s="115">
        <v>12.451000000000001</v>
      </c>
      <c r="H69" s="116">
        <v>10.858000000000001</v>
      </c>
      <c r="I69" s="117">
        <f t="shared" si="44"/>
        <v>1.593</v>
      </c>
      <c r="J69" s="118">
        <f>F69/H69*100</f>
        <v>114.67121016761834</v>
      </c>
      <c r="K69" s="117">
        <f t="shared" ref="K69:K72" si="50">D69/12*1</f>
        <v>192.80833333333331</v>
      </c>
      <c r="L69" s="117">
        <f t="shared" si="46"/>
        <v>-180.35733333333332</v>
      </c>
      <c r="M69" s="118">
        <f t="shared" ref="M69:M74" si="51">F69/K69*100</f>
        <v>6.4577084323810361</v>
      </c>
      <c r="N69" s="118">
        <f t="shared" si="11"/>
        <v>0.5381423693650863</v>
      </c>
      <c r="O69" s="115">
        <v>68.400999999999996</v>
      </c>
      <c r="P69" s="117">
        <f t="shared" si="48"/>
        <v>-55.949999999999996</v>
      </c>
      <c r="Q69" s="118">
        <f>F69/O69*100</f>
        <v>18.202950249265363</v>
      </c>
    </row>
    <row r="70" spans="1:18" s="59" customFormat="1" ht="39" x14ac:dyDescent="0.3">
      <c r="A70" s="24">
        <f t="shared" ref="A70:A73" si="52">A69+1</f>
        <v>3</v>
      </c>
      <c r="B70" s="114" t="s">
        <v>83</v>
      </c>
      <c r="C70" s="25">
        <v>21110000</v>
      </c>
      <c r="D70" s="123">
        <v>110</v>
      </c>
      <c r="E70" s="123">
        <v>160</v>
      </c>
      <c r="F70" s="115">
        <f t="shared" si="42"/>
        <v>0</v>
      </c>
      <c r="G70" s="115">
        <v>0</v>
      </c>
      <c r="H70" s="116">
        <v>0</v>
      </c>
      <c r="I70" s="117">
        <f t="shared" si="44"/>
        <v>0</v>
      </c>
      <c r="J70" s="118"/>
      <c r="K70" s="117">
        <f t="shared" si="50"/>
        <v>9.1666666666666661</v>
      </c>
      <c r="L70" s="117">
        <f t="shared" si="46"/>
        <v>-9.1666666666666661</v>
      </c>
      <c r="M70" s="118">
        <f t="shared" si="51"/>
        <v>0</v>
      </c>
      <c r="N70" s="118">
        <f t="shared" si="11"/>
        <v>0</v>
      </c>
      <c r="O70" s="115">
        <v>0</v>
      </c>
      <c r="P70" s="117">
        <f t="shared" si="48"/>
        <v>0</v>
      </c>
      <c r="Q70" s="118"/>
    </row>
    <row r="71" spans="1:18" s="59" customFormat="1" ht="39" x14ac:dyDescent="0.3">
      <c r="A71" s="24">
        <f t="shared" si="52"/>
        <v>4</v>
      </c>
      <c r="B71" s="58" t="s">
        <v>26</v>
      </c>
      <c r="C71" s="25" t="s">
        <v>25</v>
      </c>
      <c r="D71" s="123">
        <v>20</v>
      </c>
      <c r="E71" s="123">
        <v>15.7</v>
      </c>
      <c r="F71" s="115">
        <f t="shared" si="42"/>
        <v>11.72</v>
      </c>
      <c r="G71" s="115">
        <v>11.72</v>
      </c>
      <c r="H71" s="116">
        <v>11.72</v>
      </c>
      <c r="I71" s="117">
        <f t="shared" si="44"/>
        <v>0</v>
      </c>
      <c r="J71" s="118">
        <f>F71/H71*100</f>
        <v>100</v>
      </c>
      <c r="K71" s="117">
        <f t="shared" si="50"/>
        <v>1.6666666666666667</v>
      </c>
      <c r="L71" s="117">
        <f t="shared" si="46"/>
        <v>10.053333333333335</v>
      </c>
      <c r="M71" s="118">
        <f t="shared" si="51"/>
        <v>703.2</v>
      </c>
      <c r="N71" s="118">
        <f t="shared" ref="N71:N96" si="53">F71/D71*100</f>
        <v>58.600000000000009</v>
      </c>
      <c r="O71" s="115">
        <v>36.722999999999999</v>
      </c>
      <c r="P71" s="117">
        <f t="shared" si="48"/>
        <v>-25.003</v>
      </c>
      <c r="Q71" s="118">
        <f>F71/O71*100</f>
        <v>31.914603926694447</v>
      </c>
    </row>
    <row r="72" spans="1:18" s="59" customFormat="1" ht="58.5" x14ac:dyDescent="0.3">
      <c r="A72" s="24">
        <f t="shared" si="52"/>
        <v>5</v>
      </c>
      <c r="B72" s="58" t="s">
        <v>64</v>
      </c>
      <c r="C72" s="25" t="s">
        <v>65</v>
      </c>
      <c r="D72" s="123">
        <v>0</v>
      </c>
      <c r="E72" s="123">
        <v>0.4</v>
      </c>
      <c r="F72" s="115">
        <f t="shared" si="42"/>
        <v>0</v>
      </c>
      <c r="G72" s="115">
        <v>0</v>
      </c>
      <c r="H72" s="116">
        <v>0</v>
      </c>
      <c r="I72" s="117">
        <f t="shared" si="44"/>
        <v>0</v>
      </c>
      <c r="J72" s="118"/>
      <c r="K72" s="117">
        <f t="shared" si="50"/>
        <v>0</v>
      </c>
      <c r="L72" s="117">
        <f t="shared" si="46"/>
        <v>0</v>
      </c>
      <c r="M72" s="118"/>
      <c r="N72" s="118"/>
      <c r="O72" s="115">
        <v>3.5000000000000003E-2</v>
      </c>
      <c r="P72" s="117">
        <f t="shared" si="48"/>
        <v>-3.5000000000000003E-2</v>
      </c>
      <c r="Q72" s="118"/>
    </row>
    <row r="73" spans="1:18" s="32" customFormat="1" ht="41.25" customHeight="1" x14ac:dyDescent="0.3">
      <c r="A73" s="12">
        <f t="shared" si="52"/>
        <v>6</v>
      </c>
      <c r="B73" s="16" t="s">
        <v>10</v>
      </c>
      <c r="C73" s="9"/>
      <c r="D73" s="55">
        <f>SUM(D74:D77)</f>
        <v>69003.199999999997</v>
      </c>
      <c r="E73" s="55">
        <f>SUM(E74:E77)</f>
        <v>90003.199999999997</v>
      </c>
      <c r="F73" s="55">
        <f t="shared" si="42"/>
        <v>7157.3879999999999</v>
      </c>
      <c r="G73" s="55">
        <f>SUM(G74:G77)</f>
        <v>7157.3879999999999</v>
      </c>
      <c r="H73" s="55">
        <f>SUM(H74:H77)</f>
        <v>6844.9</v>
      </c>
      <c r="I73" s="55">
        <f t="shared" si="44"/>
        <v>312.48800000000028</v>
      </c>
      <c r="J73" s="90">
        <f>F73/H73*100</f>
        <v>104.56526757147657</v>
      </c>
      <c r="K73" s="55">
        <f>SUM(K74:K77)</f>
        <v>5750.2666666666664</v>
      </c>
      <c r="L73" s="89">
        <f t="shared" si="46"/>
        <v>1407.1213333333335</v>
      </c>
      <c r="M73" s="90">
        <f t="shared" si="51"/>
        <v>124.47054049667263</v>
      </c>
      <c r="N73" s="90">
        <f t="shared" si="53"/>
        <v>10.372545041389385</v>
      </c>
      <c r="O73" s="55">
        <f>SUM(O74:O77)</f>
        <v>8655.4589999999989</v>
      </c>
      <c r="P73" s="89">
        <f t="shared" si="48"/>
        <v>-1498.070999999999</v>
      </c>
      <c r="Q73" s="90">
        <f>F73/O73*100</f>
        <v>82.692183048871243</v>
      </c>
      <c r="R73" s="60"/>
    </row>
    <row r="74" spans="1:18" s="62" customFormat="1" ht="39" x14ac:dyDescent="0.3">
      <c r="A74" s="14" t="s">
        <v>130</v>
      </c>
      <c r="B74" s="101" t="s">
        <v>139</v>
      </c>
      <c r="C74" s="17" t="s">
        <v>62</v>
      </c>
      <c r="D74" s="124">
        <v>3.2</v>
      </c>
      <c r="E74" s="124">
        <v>3.2</v>
      </c>
      <c r="F74" s="119">
        <f t="shared" si="42"/>
        <v>0</v>
      </c>
      <c r="G74" s="119">
        <v>0</v>
      </c>
      <c r="H74" s="120">
        <v>0</v>
      </c>
      <c r="I74" s="121">
        <f t="shared" si="44"/>
        <v>0</v>
      </c>
      <c r="J74" s="122"/>
      <c r="K74" s="121">
        <f t="shared" ref="K74:K78" si="54">D74/12*1</f>
        <v>0.26666666666666666</v>
      </c>
      <c r="L74" s="121">
        <f t="shared" si="46"/>
        <v>-0.26666666666666666</v>
      </c>
      <c r="M74" s="122">
        <f t="shared" si="51"/>
        <v>0</v>
      </c>
      <c r="N74" s="122">
        <f t="shared" si="53"/>
        <v>0</v>
      </c>
      <c r="O74" s="119">
        <v>0</v>
      </c>
      <c r="P74" s="121">
        <f t="shared" si="48"/>
        <v>0</v>
      </c>
      <c r="Q74" s="122"/>
    </row>
    <row r="75" spans="1:18" s="62" customFormat="1" ht="36.75" customHeight="1" x14ac:dyDescent="0.3">
      <c r="A75" s="14" t="s">
        <v>131</v>
      </c>
      <c r="B75" s="101" t="s">
        <v>169</v>
      </c>
      <c r="C75" s="17" t="s">
        <v>44</v>
      </c>
      <c r="D75" s="124">
        <v>0</v>
      </c>
      <c r="E75" s="124">
        <v>0</v>
      </c>
      <c r="F75" s="119">
        <f t="shared" si="42"/>
        <v>12.75</v>
      </c>
      <c r="G75" s="119">
        <v>12.75</v>
      </c>
      <c r="H75" s="120">
        <v>0</v>
      </c>
      <c r="I75" s="121">
        <f t="shared" si="44"/>
        <v>12.75</v>
      </c>
      <c r="J75" s="122"/>
      <c r="K75" s="121">
        <f t="shared" si="54"/>
        <v>0</v>
      </c>
      <c r="L75" s="121">
        <f t="shared" si="46"/>
        <v>12.75</v>
      </c>
      <c r="M75" s="122"/>
      <c r="N75" s="122"/>
      <c r="O75" s="119">
        <v>6037.933</v>
      </c>
      <c r="P75" s="121">
        <f t="shared" si="48"/>
        <v>-6025.183</v>
      </c>
      <c r="Q75" s="122">
        <f>F75/O75*100</f>
        <v>0.21116497980351884</v>
      </c>
    </row>
    <row r="76" spans="1:18" s="62" customFormat="1" ht="36.75" customHeight="1" x14ac:dyDescent="0.3">
      <c r="A76" s="14" t="s">
        <v>132</v>
      </c>
      <c r="B76" s="101" t="s">
        <v>36</v>
      </c>
      <c r="C76" s="17" t="s">
        <v>22</v>
      </c>
      <c r="D76" s="124">
        <v>19000</v>
      </c>
      <c r="E76" s="124">
        <v>20000</v>
      </c>
      <c r="F76" s="119">
        <f t="shared" si="42"/>
        <v>3.9</v>
      </c>
      <c r="G76" s="119">
        <v>3.9</v>
      </c>
      <c r="H76" s="120">
        <v>3.9</v>
      </c>
      <c r="I76" s="121">
        <f t="shared" si="44"/>
        <v>0</v>
      </c>
      <c r="J76" s="122">
        <f>F76/H76*100</f>
        <v>100</v>
      </c>
      <c r="K76" s="121">
        <f t="shared" si="54"/>
        <v>1583.3333333333333</v>
      </c>
      <c r="L76" s="121">
        <f t="shared" si="46"/>
        <v>-1579.4333333333332</v>
      </c>
      <c r="M76" s="122">
        <f>F76/K76*100</f>
        <v>0.24631578947368421</v>
      </c>
      <c r="N76" s="122">
        <f t="shared" si="53"/>
        <v>2.0526315789473684E-2</v>
      </c>
      <c r="O76" s="119">
        <v>0</v>
      </c>
      <c r="P76" s="121">
        <f t="shared" si="48"/>
        <v>3.9</v>
      </c>
      <c r="Q76" s="122"/>
    </row>
    <row r="77" spans="1:18" s="61" customFormat="1" ht="40.5" customHeight="1" x14ac:dyDescent="0.3">
      <c r="A77" s="14" t="s">
        <v>133</v>
      </c>
      <c r="B77" s="44" t="s">
        <v>66</v>
      </c>
      <c r="C77" s="17" t="s">
        <v>42</v>
      </c>
      <c r="D77" s="124">
        <v>50000</v>
      </c>
      <c r="E77" s="124">
        <v>70000</v>
      </c>
      <c r="F77" s="124">
        <f t="shared" si="42"/>
        <v>7140.7380000000003</v>
      </c>
      <c r="G77" s="124">
        <v>7140.7380000000003</v>
      </c>
      <c r="H77" s="124">
        <v>6841</v>
      </c>
      <c r="I77" s="121">
        <f t="shared" si="44"/>
        <v>299.73800000000028</v>
      </c>
      <c r="J77" s="122">
        <f>F77/H77*100</f>
        <v>104.38149393363543</v>
      </c>
      <c r="K77" s="121">
        <f t="shared" si="54"/>
        <v>4166.666666666667</v>
      </c>
      <c r="L77" s="121">
        <f t="shared" si="46"/>
        <v>2974.0713333333333</v>
      </c>
      <c r="M77" s="122">
        <f>F77/K77*100</f>
        <v>171.377712</v>
      </c>
      <c r="N77" s="122">
        <f t="shared" si="53"/>
        <v>14.281476000000001</v>
      </c>
      <c r="O77" s="124">
        <v>2617.5259999999998</v>
      </c>
      <c r="P77" s="121">
        <f t="shared" si="48"/>
        <v>4523.2120000000004</v>
      </c>
      <c r="Q77" s="122">
        <f>F77/O77*100</f>
        <v>272.80485466046952</v>
      </c>
    </row>
    <row r="78" spans="1:18" s="59" customFormat="1" ht="40.5" customHeight="1" x14ac:dyDescent="0.3">
      <c r="A78" s="24">
        <v>7</v>
      </c>
      <c r="B78" s="114" t="s">
        <v>11</v>
      </c>
      <c r="C78" s="25" t="s">
        <v>23</v>
      </c>
      <c r="D78" s="123">
        <v>6090</v>
      </c>
      <c r="E78" s="123">
        <v>6000</v>
      </c>
      <c r="F78" s="115">
        <f t="shared" si="42"/>
        <v>783.11300000000006</v>
      </c>
      <c r="G78" s="115">
        <v>783.11300000000006</v>
      </c>
      <c r="H78" s="116">
        <v>728</v>
      </c>
      <c r="I78" s="117">
        <f t="shared" si="44"/>
        <v>55.113000000000056</v>
      </c>
      <c r="J78" s="118">
        <f>F78/H78*100</f>
        <v>107.57046703296704</v>
      </c>
      <c r="K78" s="121">
        <f t="shared" si="54"/>
        <v>507.5</v>
      </c>
      <c r="L78" s="117">
        <f t="shared" si="46"/>
        <v>275.61300000000006</v>
      </c>
      <c r="M78" s="118">
        <f>F78/K78*100</f>
        <v>154.30798029556652</v>
      </c>
      <c r="N78" s="118">
        <f t="shared" si="53"/>
        <v>12.858998357963877</v>
      </c>
      <c r="O78" s="115">
        <v>431.85300000000001</v>
      </c>
      <c r="P78" s="117">
        <f t="shared" si="48"/>
        <v>351.26000000000005</v>
      </c>
      <c r="Q78" s="118">
        <f>F78/O78*100</f>
        <v>181.33786265233772</v>
      </c>
    </row>
    <row r="79" spans="1:18" s="53" customFormat="1" ht="35.25" customHeight="1" x14ac:dyDescent="0.3">
      <c r="A79" s="51"/>
      <c r="B79" s="83" t="s">
        <v>168</v>
      </c>
      <c r="C79" s="52"/>
      <c r="D79" s="48">
        <f>D66+D69+D71+D72+D74+D75+D76+D77+D78+D70</f>
        <v>171973.91200000001</v>
      </c>
      <c r="E79" s="48">
        <f>E66+E69+E71+E72+E74+E75+E76+E77+E78+E70</f>
        <v>192883.91200000001</v>
      </c>
      <c r="F79" s="48">
        <f t="shared" si="42"/>
        <v>14817.088</v>
      </c>
      <c r="G79" s="48">
        <f>G66+G69+G71+G72+G74+G75+G76+G77+G78+G70</f>
        <v>14817.088</v>
      </c>
      <c r="H79" s="48">
        <f>H66+H69+H71+H72+H74+H75+H76+H77+H78+H70</f>
        <v>15465.228999999999</v>
      </c>
      <c r="I79" s="85">
        <f t="shared" si="44"/>
        <v>-648.14099999999962</v>
      </c>
      <c r="J79" s="86">
        <f>F79/H79*100</f>
        <v>95.809043629421851</v>
      </c>
      <c r="K79" s="85">
        <f>K66+K69+K71+K72+K74+K75+K76+K77+K78+K70</f>
        <v>14331.159333333335</v>
      </c>
      <c r="L79" s="85">
        <f t="shared" si="46"/>
        <v>485.92866666666487</v>
      </c>
      <c r="M79" s="86">
        <f>F79/K79*100</f>
        <v>103.39071428461777</v>
      </c>
      <c r="N79" s="86">
        <f t="shared" si="53"/>
        <v>8.6158928570514792</v>
      </c>
      <c r="O79" s="48">
        <f>O66+O69+O71+O72+O74+O75+O76+O77+O78+O70</f>
        <v>13052.775</v>
      </c>
      <c r="P79" s="85">
        <f t="shared" si="48"/>
        <v>1764.3130000000001</v>
      </c>
      <c r="Q79" s="86">
        <f>F79/O79*100</f>
        <v>113.51676559199097</v>
      </c>
    </row>
    <row r="80" spans="1:18" s="64" customFormat="1" ht="22.5" hidden="1" x14ac:dyDescent="0.3">
      <c r="A80" s="63"/>
      <c r="B80" s="143"/>
      <c r="C80" s="54"/>
      <c r="D80" s="55"/>
      <c r="E80" s="55"/>
      <c r="F80" s="55"/>
      <c r="G80" s="55"/>
      <c r="H80" s="55"/>
      <c r="I80" s="89"/>
      <c r="J80" s="90"/>
      <c r="K80" s="89"/>
      <c r="L80" s="89"/>
      <c r="M80" s="90"/>
      <c r="N80" s="90"/>
      <c r="O80" s="55"/>
      <c r="P80" s="89"/>
      <c r="Q80" s="90"/>
    </row>
    <row r="81" spans="1:19" s="27" customFormat="1" ht="78" x14ac:dyDescent="0.25">
      <c r="A81" s="24">
        <v>1</v>
      </c>
      <c r="B81" s="58" t="s">
        <v>129</v>
      </c>
      <c r="C81" s="25" t="s">
        <v>69</v>
      </c>
      <c r="D81" s="123">
        <v>22916.2</v>
      </c>
      <c r="E81" s="123">
        <v>120420</v>
      </c>
      <c r="F81" s="123">
        <f>SUM(G81:G81)</f>
        <v>0</v>
      </c>
      <c r="G81" s="123">
        <v>0</v>
      </c>
      <c r="H81" s="123">
        <v>1000</v>
      </c>
      <c r="I81" s="117">
        <f>F81-H81</f>
        <v>-1000</v>
      </c>
      <c r="J81" s="126"/>
      <c r="K81" s="123">
        <f>D81</f>
        <v>22916.2</v>
      </c>
      <c r="L81" s="117">
        <f>F81-K81</f>
        <v>-22916.2</v>
      </c>
      <c r="M81" s="126">
        <f>F81/K81*100</f>
        <v>0</v>
      </c>
      <c r="N81" s="126">
        <f t="shared" si="53"/>
        <v>0</v>
      </c>
      <c r="O81" s="123">
        <v>0</v>
      </c>
      <c r="P81" s="117">
        <f>F81-O81</f>
        <v>0</v>
      </c>
      <c r="Q81" s="118"/>
    </row>
    <row r="82" spans="1:19" s="35" customFormat="1" ht="22.5" x14ac:dyDescent="0.25">
      <c r="A82" s="34"/>
      <c r="B82" s="91"/>
      <c r="C82" s="26"/>
      <c r="D82" s="55"/>
      <c r="E82" s="55"/>
      <c r="F82" s="55"/>
      <c r="G82" s="55"/>
      <c r="H82" s="55"/>
      <c r="I82" s="89"/>
      <c r="J82" s="90"/>
      <c r="K82" s="89"/>
      <c r="L82" s="89"/>
      <c r="M82" s="90"/>
      <c r="N82" s="90"/>
      <c r="O82" s="55"/>
      <c r="P82" s="89"/>
      <c r="Q82" s="90"/>
    </row>
    <row r="83" spans="1:19" s="49" customFormat="1" ht="37.5" customHeight="1" x14ac:dyDescent="0.3">
      <c r="A83" s="46"/>
      <c r="B83" s="50" t="s">
        <v>29</v>
      </c>
      <c r="C83" s="52"/>
      <c r="D83" s="48">
        <f>D84+D85</f>
        <v>22916.2</v>
      </c>
      <c r="E83" s="48">
        <f>E84+E85</f>
        <v>120420</v>
      </c>
      <c r="F83" s="48">
        <f>SUM(G83:G83)</f>
        <v>0</v>
      </c>
      <c r="G83" s="48">
        <f>G84+G85</f>
        <v>0</v>
      </c>
      <c r="H83" s="48">
        <f>H84+H85</f>
        <v>1000</v>
      </c>
      <c r="I83" s="85">
        <f>F83-H83</f>
        <v>-1000</v>
      </c>
      <c r="J83" s="86">
        <f>F83/H83*100</f>
        <v>0</v>
      </c>
      <c r="K83" s="48">
        <f>K84+K85</f>
        <v>22916.2</v>
      </c>
      <c r="L83" s="85">
        <f>F83-K83</f>
        <v>-22916.2</v>
      </c>
      <c r="M83" s="86">
        <f>F83/K83*100</f>
        <v>0</v>
      </c>
      <c r="N83" s="86">
        <f t="shared" si="53"/>
        <v>0</v>
      </c>
      <c r="O83" s="48">
        <f>O84+O85</f>
        <v>0</v>
      </c>
      <c r="P83" s="85">
        <f>F83-O83</f>
        <v>0</v>
      </c>
      <c r="Q83" s="86"/>
    </row>
    <row r="84" spans="1:19" s="8" customFormat="1" ht="37.5" customHeight="1" x14ac:dyDescent="0.25">
      <c r="A84" s="14"/>
      <c r="B84" s="17" t="s">
        <v>99</v>
      </c>
      <c r="C84" s="17"/>
      <c r="D84" s="124">
        <f>D81</f>
        <v>22916.2</v>
      </c>
      <c r="E84" s="124">
        <f>E81</f>
        <v>120420</v>
      </c>
      <c r="F84" s="124">
        <f>SUM(G84:G84)</f>
        <v>0</v>
      </c>
      <c r="G84" s="124">
        <f>G81</f>
        <v>0</v>
      </c>
      <c r="H84" s="124">
        <f>H81</f>
        <v>1000</v>
      </c>
      <c r="I84" s="121">
        <f>F84-H84</f>
        <v>-1000</v>
      </c>
      <c r="J84" s="122"/>
      <c r="K84" s="124">
        <f>K81</f>
        <v>22916.2</v>
      </c>
      <c r="L84" s="121">
        <f>F84-K84</f>
        <v>-22916.2</v>
      </c>
      <c r="M84" s="122">
        <f>F84/K84*100</f>
        <v>0</v>
      </c>
      <c r="N84" s="122">
        <f t="shared" si="53"/>
        <v>0</v>
      </c>
      <c r="O84" s="124">
        <f>O81</f>
        <v>0</v>
      </c>
      <c r="P84" s="121">
        <f>F84-O84</f>
        <v>0</v>
      </c>
      <c r="Q84" s="122"/>
    </row>
    <row r="85" spans="1:19" s="8" customFormat="1" ht="37.5" customHeight="1" x14ac:dyDescent="0.25">
      <c r="A85" s="14"/>
      <c r="B85" s="163" t="s">
        <v>98</v>
      </c>
      <c r="C85" s="17"/>
      <c r="D85" s="124">
        <v>0</v>
      </c>
      <c r="E85" s="124">
        <v>0</v>
      </c>
      <c r="F85" s="124">
        <f>SUM(G85:G85)</f>
        <v>0</v>
      </c>
      <c r="G85" s="124">
        <v>0</v>
      </c>
      <c r="H85" s="124">
        <v>0</v>
      </c>
      <c r="I85" s="121">
        <f>F85-H85</f>
        <v>0</v>
      </c>
      <c r="J85" s="122"/>
      <c r="K85" s="124">
        <v>0</v>
      </c>
      <c r="L85" s="121">
        <f>F85-K85</f>
        <v>0</v>
      </c>
      <c r="M85" s="122"/>
      <c r="N85" s="122"/>
      <c r="O85" s="124">
        <v>0</v>
      </c>
      <c r="P85" s="121">
        <f>F85-O85</f>
        <v>0</v>
      </c>
      <c r="Q85" s="122"/>
    </row>
    <row r="86" spans="1:19" s="10" customFormat="1" ht="23.25" hidden="1" x14ac:dyDescent="0.25">
      <c r="A86" s="24"/>
      <c r="B86" s="40"/>
      <c r="C86" s="25"/>
      <c r="D86" s="123"/>
      <c r="E86" s="123"/>
      <c r="F86" s="127"/>
      <c r="G86" s="127"/>
      <c r="H86" s="123"/>
      <c r="I86" s="117"/>
      <c r="J86" s="118"/>
      <c r="K86" s="123"/>
      <c r="L86" s="117"/>
      <c r="M86" s="118"/>
      <c r="N86" s="118"/>
      <c r="O86" s="127"/>
      <c r="P86" s="117"/>
      <c r="Q86" s="118"/>
    </row>
    <row r="87" spans="1:19" s="152" customFormat="1" ht="34.5" customHeight="1" x14ac:dyDescent="0.3">
      <c r="A87" s="145"/>
      <c r="B87" s="146" t="s">
        <v>41</v>
      </c>
      <c r="C87" s="153"/>
      <c r="D87" s="148">
        <f>D79+D83</f>
        <v>194890.11200000002</v>
      </c>
      <c r="E87" s="148">
        <f>E79+E83</f>
        <v>313303.91200000001</v>
      </c>
      <c r="F87" s="148">
        <f>SUM(G87:G87)</f>
        <v>14817.088</v>
      </c>
      <c r="G87" s="148">
        <f>G79+G83</f>
        <v>14817.088</v>
      </c>
      <c r="H87" s="148">
        <f>H79+H83</f>
        <v>16465.228999999999</v>
      </c>
      <c r="I87" s="149">
        <f>F87-H87</f>
        <v>-1648.1409999999996</v>
      </c>
      <c r="J87" s="150">
        <f>F87/H87*100</f>
        <v>89.990172623775848</v>
      </c>
      <c r="K87" s="148">
        <f>K79+K83</f>
        <v>37247.359333333334</v>
      </c>
      <c r="L87" s="149">
        <f>F87-K87</f>
        <v>-22430.271333333334</v>
      </c>
      <c r="M87" s="150">
        <f>F87/K87*100</f>
        <v>39.780237485828742</v>
      </c>
      <c r="N87" s="150">
        <f t="shared" si="53"/>
        <v>7.6027910538632142</v>
      </c>
      <c r="O87" s="148">
        <f>O79+O83</f>
        <v>13052.775</v>
      </c>
      <c r="P87" s="149">
        <f>F87-O87</f>
        <v>1764.3130000000001</v>
      </c>
      <c r="Q87" s="150">
        <f>F87/O87*100</f>
        <v>113.51676559199097</v>
      </c>
      <c r="R87" s="152">
        <v>9453.7240000000002</v>
      </c>
      <c r="S87" s="151">
        <f>R87-O87</f>
        <v>-3599.0509999999995</v>
      </c>
    </row>
    <row r="88" spans="1:19" s="13" customFormat="1" ht="25.5" customHeight="1" x14ac:dyDescent="0.25">
      <c r="A88" s="181" t="s">
        <v>40</v>
      </c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3"/>
    </row>
    <row r="89" spans="1:19" s="152" customFormat="1" ht="37.5" customHeight="1" x14ac:dyDescent="0.3">
      <c r="A89" s="154"/>
      <c r="B89" s="146" t="s">
        <v>27</v>
      </c>
      <c r="C89" s="153"/>
      <c r="D89" s="148">
        <f>D45+D79</f>
        <v>4561433.8969999999</v>
      </c>
      <c r="E89" s="148">
        <f>E45+E79</f>
        <v>3944505.3009999995</v>
      </c>
      <c r="F89" s="148">
        <f>SUM(G89:G89)</f>
        <v>318356.81500000006</v>
      </c>
      <c r="G89" s="148">
        <f>G45+G79</f>
        <v>318356.81500000006</v>
      </c>
      <c r="H89" s="148">
        <f>H45+H79</f>
        <v>291990.01400000002</v>
      </c>
      <c r="I89" s="149">
        <f>F89-H89</f>
        <v>26366.801000000036</v>
      </c>
      <c r="J89" s="150">
        <f>F89/H89*100</f>
        <v>109.03003518469643</v>
      </c>
      <c r="K89" s="148">
        <f>K45+K79</f>
        <v>380119.49141666671</v>
      </c>
      <c r="L89" s="149">
        <f>F89-K89</f>
        <v>-61762.676416666654</v>
      </c>
      <c r="M89" s="150">
        <f>F89/K89*100</f>
        <v>83.75177337355592</v>
      </c>
      <c r="N89" s="150">
        <f t="shared" si="53"/>
        <v>6.9793144477963285</v>
      </c>
      <c r="O89" s="148">
        <f>O45+O79</f>
        <v>250348.01899999994</v>
      </c>
      <c r="P89" s="149">
        <f>F89-O89</f>
        <v>68008.796000000119</v>
      </c>
      <c r="Q89" s="150">
        <f>F89/O89*100</f>
        <v>127.16570167867</v>
      </c>
    </row>
    <row r="90" spans="1:19" s="32" customFormat="1" ht="22.5" x14ac:dyDescent="0.3">
      <c r="A90" s="12"/>
      <c r="B90" s="16"/>
      <c r="C90" s="26"/>
      <c r="D90" s="55"/>
      <c r="E90" s="55"/>
      <c r="F90" s="55"/>
      <c r="G90" s="55"/>
      <c r="H90" s="55"/>
      <c r="I90" s="89"/>
      <c r="J90" s="90"/>
      <c r="K90" s="55"/>
      <c r="L90" s="89"/>
      <c r="M90" s="90"/>
      <c r="N90" s="90"/>
      <c r="O90" s="55"/>
      <c r="P90" s="89"/>
      <c r="Q90" s="90"/>
    </row>
    <row r="91" spans="1:19" s="49" customFormat="1" ht="39" customHeight="1" x14ac:dyDescent="0.3">
      <c r="A91" s="46"/>
      <c r="B91" s="50" t="s">
        <v>29</v>
      </c>
      <c r="C91" s="52"/>
      <c r="D91" s="48">
        <f>D57+D83</f>
        <v>932227.53999999992</v>
      </c>
      <c r="E91" s="48" t="e">
        <f>E57+E83</f>
        <v>#REF!</v>
      </c>
      <c r="F91" s="48">
        <f>SUM(G91:G91)</f>
        <v>69678.231999999989</v>
      </c>
      <c r="G91" s="48">
        <f>G57+G83</f>
        <v>69678.231999999989</v>
      </c>
      <c r="H91" s="48">
        <f>H57+H83</f>
        <v>70879.832999999999</v>
      </c>
      <c r="I91" s="85">
        <f>F91-H91</f>
        <v>-1201.6010000000097</v>
      </c>
      <c r="J91" s="86">
        <f>F91/H91*100</f>
        <v>98.30473500128025</v>
      </c>
      <c r="K91" s="48">
        <f>K57+K83</f>
        <v>928285.14099999995</v>
      </c>
      <c r="L91" s="85">
        <f>F91-K91</f>
        <v>-858606.90899999999</v>
      </c>
      <c r="M91" s="86">
        <f>F91/K91*100</f>
        <v>7.5061238107225066</v>
      </c>
      <c r="N91" s="86">
        <f t="shared" si="53"/>
        <v>7.4743803428077227</v>
      </c>
      <c r="O91" s="48">
        <f>O57+O83</f>
        <v>46907.102000000006</v>
      </c>
      <c r="P91" s="85">
        <f>F91-O91</f>
        <v>22771.129999999983</v>
      </c>
      <c r="Q91" s="86">
        <f>F91/O91*100</f>
        <v>148.54516486650567</v>
      </c>
    </row>
    <row r="92" spans="1:19" s="56" customFormat="1" ht="39" customHeight="1" x14ac:dyDescent="0.3">
      <c r="A92" s="156"/>
      <c r="B92" s="57" t="s">
        <v>70</v>
      </c>
      <c r="C92" s="54"/>
      <c r="D92" s="55">
        <f t="shared" ref="D92:E92" si="55">D93+D94</f>
        <v>903227.53999999992</v>
      </c>
      <c r="E92" s="55" t="e">
        <f t="shared" si="55"/>
        <v>#REF!</v>
      </c>
      <c r="F92" s="55">
        <f>SUM(G92:G92)</f>
        <v>67261.531999999992</v>
      </c>
      <c r="G92" s="55">
        <f t="shared" ref="G92:H92" si="56">G93+G94</f>
        <v>67261.531999999992</v>
      </c>
      <c r="H92" s="55">
        <f t="shared" si="56"/>
        <v>68463.133000000002</v>
      </c>
      <c r="I92" s="89">
        <f>F92-H92</f>
        <v>-1201.6010000000097</v>
      </c>
      <c r="J92" s="90">
        <f>F92/H92*100</f>
        <v>98.244893350118801</v>
      </c>
      <c r="K92" s="55">
        <f t="shared" ref="K92" si="57">K93+K94</f>
        <v>899285.14099999995</v>
      </c>
      <c r="L92" s="89">
        <f>F92-K92</f>
        <v>-832023.60899999994</v>
      </c>
      <c r="M92" s="90">
        <f>F92/K92*100</f>
        <v>7.4794443868165725</v>
      </c>
      <c r="N92" s="90">
        <f t="shared" si="53"/>
        <v>7.4467981788952091</v>
      </c>
      <c r="O92" s="55">
        <f t="shared" ref="O92" si="58">O93+O94</f>
        <v>46907.102000000006</v>
      </c>
      <c r="P92" s="89">
        <f>F92-O92</f>
        <v>20354.429999999986</v>
      </c>
      <c r="Q92" s="90">
        <f>F92/O92*100</f>
        <v>143.39306657657082</v>
      </c>
    </row>
    <row r="93" spans="1:19" s="159" customFormat="1" ht="23.25" x14ac:dyDescent="0.35">
      <c r="A93" s="157"/>
      <c r="B93" s="158" t="s">
        <v>99</v>
      </c>
      <c r="C93" s="158"/>
      <c r="D93" s="124">
        <f>D61+D84</f>
        <v>878600.29999999993</v>
      </c>
      <c r="E93" s="124" t="e">
        <f>E61+E84</f>
        <v>#REF!</v>
      </c>
      <c r="F93" s="124">
        <f>SUM(G93:G93)</f>
        <v>65887.7</v>
      </c>
      <c r="G93" s="124">
        <f>G61+G84</f>
        <v>65887.7</v>
      </c>
      <c r="H93" s="124">
        <f>H61+H84</f>
        <v>66887.7</v>
      </c>
      <c r="I93" s="121">
        <f>F93-H93</f>
        <v>-1000</v>
      </c>
      <c r="J93" s="122">
        <f>F93/H93*100</f>
        <v>98.50495681567763</v>
      </c>
      <c r="K93" s="124">
        <f>K61+K84</f>
        <v>878600.29999999993</v>
      </c>
      <c r="L93" s="121">
        <f>F93-K93</f>
        <v>-812712.6</v>
      </c>
      <c r="M93" s="122">
        <f>F93/K93*100</f>
        <v>7.4991665721033787</v>
      </c>
      <c r="N93" s="122">
        <f t="shared" si="53"/>
        <v>7.4991665721033787</v>
      </c>
      <c r="O93" s="124">
        <f>O61+O84</f>
        <v>44804.3</v>
      </c>
      <c r="P93" s="121">
        <f>F93-O93</f>
        <v>21083.399999999994</v>
      </c>
      <c r="Q93" s="122">
        <f>F93/O93*100</f>
        <v>147.05664411674769</v>
      </c>
    </row>
    <row r="94" spans="1:19" s="159" customFormat="1" ht="23.25" x14ac:dyDescent="0.35">
      <c r="A94" s="157"/>
      <c r="B94" s="158" t="s">
        <v>98</v>
      </c>
      <c r="C94" s="158"/>
      <c r="D94" s="124">
        <f>D85+D62</f>
        <v>24627.24</v>
      </c>
      <c r="E94" s="124">
        <f>E85+E62</f>
        <v>26319.402000000002</v>
      </c>
      <c r="F94" s="124">
        <f>SUM(G94:G94)</f>
        <v>1373.8319999999999</v>
      </c>
      <c r="G94" s="124">
        <f>G85+G62</f>
        <v>1373.8319999999999</v>
      </c>
      <c r="H94" s="124">
        <f>H85+H62</f>
        <v>1575.4329999999998</v>
      </c>
      <c r="I94" s="121">
        <f>F94-H94</f>
        <v>-201.60099999999989</v>
      </c>
      <c r="J94" s="122">
        <f>F94/H94*100</f>
        <v>87.20345454233852</v>
      </c>
      <c r="K94" s="124">
        <f>K85+K62</f>
        <v>20684.841</v>
      </c>
      <c r="L94" s="121">
        <f>F94-K94</f>
        <v>-19311.009000000002</v>
      </c>
      <c r="M94" s="122">
        <f>F94/K94*100</f>
        <v>6.6417334317435639</v>
      </c>
      <c r="N94" s="122">
        <f t="shared" si="53"/>
        <v>5.5785057521671115</v>
      </c>
      <c r="O94" s="124">
        <f>O85+O62</f>
        <v>2102.8020000000001</v>
      </c>
      <c r="P94" s="121">
        <f>F94-O94</f>
        <v>-728.97000000000025</v>
      </c>
      <c r="Q94" s="122">
        <f>F94/O94*100</f>
        <v>65.333398008942339</v>
      </c>
    </row>
    <row r="95" spans="1:19" s="8" customFormat="1" ht="23.25" x14ac:dyDescent="0.25">
      <c r="A95" s="28"/>
      <c r="B95" s="44"/>
      <c r="C95" s="17"/>
      <c r="D95" s="124"/>
      <c r="E95" s="124"/>
      <c r="F95" s="124"/>
      <c r="G95" s="124"/>
      <c r="H95" s="124"/>
      <c r="I95" s="121"/>
      <c r="J95" s="122"/>
      <c r="K95" s="124"/>
      <c r="L95" s="121"/>
      <c r="M95" s="122"/>
      <c r="N95" s="122"/>
      <c r="O95" s="124"/>
      <c r="P95" s="121"/>
      <c r="Q95" s="122"/>
    </row>
    <row r="96" spans="1:19" s="152" customFormat="1" ht="48.75" customHeight="1" x14ac:dyDescent="0.3">
      <c r="A96" s="154"/>
      <c r="B96" s="146" t="s">
        <v>149</v>
      </c>
      <c r="C96" s="153"/>
      <c r="D96" s="148">
        <f>D89+D91</f>
        <v>5493661.4369999999</v>
      </c>
      <c r="E96" s="148" t="e">
        <f>E89+E91</f>
        <v>#REF!</v>
      </c>
      <c r="F96" s="148">
        <f>SUM(G96:G96)</f>
        <v>388035.04700000002</v>
      </c>
      <c r="G96" s="148">
        <f>G89+G91</f>
        <v>388035.04700000002</v>
      </c>
      <c r="H96" s="148">
        <f>H89+H91</f>
        <v>362869.84700000001</v>
      </c>
      <c r="I96" s="149">
        <f>F96-H96</f>
        <v>25165.200000000012</v>
      </c>
      <c r="J96" s="150">
        <f>F96/H96*100</f>
        <v>106.93504853270434</v>
      </c>
      <c r="K96" s="148">
        <f>K87+K64</f>
        <v>1308404.6324166667</v>
      </c>
      <c r="L96" s="149">
        <f>F96-K96</f>
        <v>-920369.5854166667</v>
      </c>
      <c r="M96" s="150">
        <f>F96/K96*100</f>
        <v>29.657113509548378</v>
      </c>
      <c r="N96" s="150">
        <f t="shared" si="53"/>
        <v>7.0633229122306407</v>
      </c>
      <c r="O96" s="148">
        <f>O89+O91</f>
        <v>297255.12099999993</v>
      </c>
      <c r="P96" s="149">
        <f>F96-O96</f>
        <v>90779.926000000094</v>
      </c>
      <c r="Q96" s="150">
        <f>F96/O96*100</f>
        <v>130.53939851216225</v>
      </c>
      <c r="R96" s="148">
        <v>297255.12099999993</v>
      </c>
      <c r="S96" s="148">
        <f>R96-O96</f>
        <v>0</v>
      </c>
    </row>
    <row r="97" spans="1:17" s="15" customFormat="1" ht="3.75" customHeight="1" x14ac:dyDescent="0.3">
      <c r="A97" s="36"/>
      <c r="B97" s="37"/>
      <c r="C97" s="38"/>
      <c r="D97" s="38"/>
      <c r="E97" s="39"/>
      <c r="F97" s="39"/>
      <c r="G97" s="39"/>
      <c r="H97" s="39"/>
      <c r="I97" s="92"/>
      <c r="J97" s="93"/>
      <c r="K97" s="39"/>
      <c r="L97" s="92"/>
      <c r="M97" s="93"/>
      <c r="N97" s="93"/>
      <c r="O97" s="39"/>
      <c r="P97" s="92"/>
      <c r="Q97" s="93"/>
    </row>
    <row r="98" spans="1:17" s="15" customFormat="1" ht="50.25" customHeight="1" x14ac:dyDescent="0.4">
      <c r="A98" s="36"/>
      <c r="B98" s="22" t="s">
        <v>173</v>
      </c>
      <c r="C98" s="22"/>
      <c r="D98" s="22"/>
      <c r="E98" s="22"/>
      <c r="F98" s="22" t="s">
        <v>174</v>
      </c>
      <c r="G98" s="22"/>
      <c r="H98" s="39"/>
      <c r="I98" s="92"/>
      <c r="J98" s="93"/>
      <c r="K98" s="39"/>
      <c r="L98" s="92"/>
      <c r="M98" s="93"/>
      <c r="N98" s="93"/>
      <c r="O98" s="22"/>
      <c r="P98" s="92"/>
      <c r="Q98" s="93"/>
    </row>
    <row r="99" spans="1:17" s="8" customFormat="1" ht="18" customHeight="1" x14ac:dyDescent="0.45">
      <c r="A99" s="6"/>
      <c r="B99" s="31" t="s">
        <v>175</v>
      </c>
      <c r="C99" s="19"/>
      <c r="D99" s="19"/>
      <c r="E99" s="19"/>
      <c r="F99" s="21"/>
      <c r="G99" s="21"/>
      <c r="H99" s="7"/>
      <c r="I99" s="94"/>
      <c r="J99" s="95"/>
      <c r="K99" s="7"/>
      <c r="L99" s="94"/>
      <c r="M99" s="95"/>
      <c r="N99" s="95"/>
      <c r="O99" s="21"/>
      <c r="P99" s="94"/>
      <c r="Q99" s="95"/>
    </row>
    <row r="100" spans="1:17" s="8" customFormat="1" ht="30.75" hidden="1" x14ac:dyDescent="0.45">
      <c r="A100" s="6"/>
      <c r="B100" s="19"/>
      <c r="C100" s="19"/>
      <c r="D100" s="19"/>
      <c r="E100" s="133"/>
      <c r="F100" s="21"/>
      <c r="G100" s="21"/>
      <c r="H100" s="7"/>
      <c r="I100" s="94"/>
      <c r="J100" s="95"/>
      <c r="K100" s="7"/>
      <c r="L100" s="94"/>
      <c r="M100" s="95"/>
      <c r="N100" s="95"/>
      <c r="O100" s="21"/>
      <c r="P100" s="94"/>
      <c r="Q100" s="95"/>
    </row>
    <row r="101" spans="1:17" s="4" customFormat="1" ht="30.75" hidden="1" x14ac:dyDescent="0.45">
      <c r="A101" s="29"/>
      <c r="B101" s="19"/>
      <c r="C101" s="19"/>
      <c r="D101" s="111">
        <v>5493661.4369999999</v>
      </c>
      <c r="E101" s="111">
        <v>4242798.9189999998</v>
      </c>
      <c r="F101" s="111">
        <v>388035.04700000002</v>
      </c>
      <c r="G101" s="112"/>
      <c r="H101" s="111">
        <v>362869.84700000001</v>
      </c>
      <c r="I101" s="5"/>
      <c r="J101" s="5"/>
      <c r="K101" s="22"/>
      <c r="L101" s="5"/>
      <c r="M101" s="5"/>
      <c r="N101" s="5"/>
      <c r="O101" s="111"/>
      <c r="P101" s="5"/>
    </row>
    <row r="102" spans="1:17" ht="12" hidden="1" customHeight="1" x14ac:dyDescent="0.45">
      <c r="B102" s="31"/>
      <c r="C102" s="21"/>
      <c r="D102" s="21"/>
      <c r="E102" s="21"/>
      <c r="F102" s="21"/>
      <c r="G102" s="21"/>
      <c r="O102" s="21"/>
    </row>
    <row r="103" spans="1:17" s="2" customFormat="1" ht="30.75" hidden="1" customHeight="1" x14ac:dyDescent="0.45">
      <c r="A103" s="30"/>
      <c r="B103" s="19"/>
      <c r="C103" s="19"/>
      <c r="D103" s="19"/>
      <c r="E103" s="19"/>
      <c r="F103" s="21"/>
      <c r="G103" s="21"/>
      <c r="I103" s="164"/>
      <c r="J103" s="164"/>
      <c r="K103" s="164"/>
      <c r="L103" s="164"/>
      <c r="M103" s="164"/>
      <c r="N103" s="164"/>
      <c r="O103" s="21"/>
      <c r="P103" s="164"/>
    </row>
    <row r="104" spans="1:17" s="2" customFormat="1" ht="30.75" hidden="1" customHeight="1" x14ac:dyDescent="0.45">
      <c r="A104" s="30"/>
      <c r="B104" s="19"/>
      <c r="C104" s="19"/>
      <c r="D104" s="19"/>
      <c r="E104" s="19"/>
      <c r="F104" s="21"/>
      <c r="G104" s="21"/>
      <c r="I104" s="164"/>
      <c r="J104" s="164"/>
      <c r="K104" s="164"/>
      <c r="L104" s="164"/>
      <c r="M104" s="164"/>
      <c r="N104" s="164"/>
      <c r="O104" s="21"/>
      <c r="P104" s="164"/>
    </row>
    <row r="105" spans="1:17" s="2" customFormat="1" ht="16.5" hidden="1" customHeight="1" x14ac:dyDescent="0.45">
      <c r="A105" s="30"/>
      <c r="B105" s="31"/>
      <c r="C105" s="21"/>
      <c r="D105" s="21"/>
      <c r="E105" s="21"/>
      <c r="F105" s="21"/>
      <c r="G105" s="21"/>
      <c r="I105" s="164"/>
      <c r="J105" s="164"/>
      <c r="K105" s="164"/>
      <c r="L105" s="164"/>
      <c r="M105" s="164"/>
      <c r="N105" s="164"/>
      <c r="O105" s="21"/>
      <c r="P105" s="164"/>
    </row>
    <row r="106" spans="1:17" ht="18.75" hidden="1" x14ac:dyDescent="0.3">
      <c r="B106" s="29"/>
      <c r="D106" s="111">
        <f>D101-D96</f>
        <v>0</v>
      </c>
      <c r="E106" s="111" t="e">
        <f>E101-E96</f>
        <v>#REF!</v>
      </c>
      <c r="F106" s="111">
        <f>F101-F96</f>
        <v>0</v>
      </c>
      <c r="H106" s="111">
        <f>H101-H96</f>
        <v>0</v>
      </c>
      <c r="I106" s="167" t="s">
        <v>48</v>
      </c>
      <c r="J106" s="167"/>
      <c r="K106" s="97">
        <f>D45/12*1</f>
        <v>365788.33208333328</v>
      </c>
      <c r="O106" s="111"/>
    </row>
    <row r="107" spans="1:17" ht="18.75" hidden="1" x14ac:dyDescent="0.3">
      <c r="B107" s="29"/>
      <c r="H107" s="113"/>
      <c r="I107" s="164"/>
      <c r="J107" s="164"/>
      <c r="K107" s="97">
        <f>K106-K45</f>
        <v>0</v>
      </c>
    </row>
    <row r="108" spans="1:17" ht="18.75" hidden="1" x14ac:dyDescent="0.3">
      <c r="B108" s="4"/>
      <c r="C108" s="3"/>
      <c r="D108" s="3"/>
      <c r="E108" s="112">
        <v>4242798.9189999998</v>
      </c>
      <c r="F108" s="112"/>
      <c r="I108" s="167" t="s">
        <v>49</v>
      </c>
      <c r="J108" s="167"/>
      <c r="K108" s="96">
        <f>D79/12*1</f>
        <v>14331.159333333335</v>
      </c>
      <c r="O108" s="112"/>
    </row>
    <row r="109" spans="1:17" ht="18.75" hidden="1" x14ac:dyDescent="0.3">
      <c r="B109" s="4"/>
      <c r="C109" s="3"/>
      <c r="D109" s="3"/>
      <c r="E109" s="3"/>
      <c r="I109" s="164"/>
      <c r="J109" s="164"/>
      <c r="K109" s="97">
        <f>K108-K79</f>
        <v>0</v>
      </c>
    </row>
    <row r="110" spans="1:17" ht="22.5" hidden="1" x14ac:dyDescent="0.3">
      <c r="B110" s="4"/>
      <c r="C110" s="3"/>
      <c r="D110" s="3"/>
      <c r="E110" s="134"/>
      <c r="F110" s="134"/>
      <c r="I110" s="167" t="s">
        <v>50</v>
      </c>
      <c r="J110" s="167"/>
      <c r="K110" s="97">
        <f>K108+K83</f>
        <v>37247.359333333334</v>
      </c>
      <c r="O110" s="134"/>
    </row>
    <row r="111" spans="1:17" ht="18.75" hidden="1" x14ac:dyDescent="0.3">
      <c r="B111" s="4"/>
      <c r="C111" s="3"/>
      <c r="D111" s="3"/>
      <c r="E111" s="3"/>
      <c r="I111" s="164"/>
      <c r="J111" s="164"/>
      <c r="K111" s="97">
        <f>K110-K87</f>
        <v>0</v>
      </c>
    </row>
    <row r="112" spans="1:17" ht="18.75" hidden="1" x14ac:dyDescent="0.3">
      <c r="B112" s="4"/>
      <c r="C112" s="3"/>
      <c r="D112" s="3"/>
      <c r="E112" s="3"/>
    </row>
    <row r="113" spans="2:42" ht="18.75" hidden="1" x14ac:dyDescent="0.3">
      <c r="B113" s="135"/>
      <c r="C113" s="3"/>
      <c r="D113" s="3"/>
      <c r="E113" s="3"/>
    </row>
    <row r="114" spans="2:42" ht="18.75" hidden="1" x14ac:dyDescent="0.3">
      <c r="B114" s="4"/>
      <c r="C114" s="3"/>
      <c r="D114" s="3"/>
      <c r="E114" s="3"/>
    </row>
    <row r="115" spans="2:42" s="20" customFormat="1" ht="18.75" hidden="1" x14ac:dyDescent="0.3">
      <c r="B115" s="4"/>
      <c r="C115" s="3"/>
      <c r="D115" s="3"/>
      <c r="E115" s="3"/>
      <c r="F115" s="3"/>
      <c r="G115" s="3"/>
      <c r="H115" s="3"/>
      <c r="I115" s="1"/>
      <c r="J115" s="1"/>
      <c r="K115" s="1"/>
      <c r="L115" s="1"/>
      <c r="M115" s="1"/>
      <c r="N115" s="1"/>
      <c r="O115" s="3"/>
      <c r="P115" s="1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s="20" customFormat="1" ht="18.75" hidden="1" x14ac:dyDescent="0.3">
      <c r="B116" s="4"/>
      <c r="C116" s="3"/>
      <c r="D116" s="3"/>
      <c r="E116" s="112"/>
      <c r="F116" s="112"/>
      <c r="G116" s="3"/>
      <c r="H116" s="3"/>
      <c r="I116" s="1"/>
      <c r="J116" s="1"/>
      <c r="K116" s="1"/>
      <c r="L116" s="1"/>
      <c r="M116" s="1"/>
      <c r="N116" s="1"/>
      <c r="O116" s="112"/>
      <c r="P116" s="1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s="20" customFormat="1" ht="18.75" hidden="1" x14ac:dyDescent="0.3">
      <c r="B117" s="4"/>
      <c r="C117" s="3"/>
      <c r="D117" s="166"/>
      <c r="E117" s="3"/>
      <c r="F117" s="3"/>
      <c r="G117" s="3"/>
      <c r="H117" s="3"/>
      <c r="I117" s="1"/>
      <c r="J117" s="1"/>
      <c r="K117" s="1"/>
      <c r="L117" s="1"/>
      <c r="M117" s="1"/>
      <c r="N117" s="1"/>
      <c r="O117" s="3"/>
      <c r="P117" s="1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s="20" customFormat="1" ht="18.75" hidden="1" x14ac:dyDescent="0.3">
      <c r="B118" s="4"/>
      <c r="C118" s="3"/>
      <c r="D118" s="3"/>
      <c r="E118" s="3"/>
      <c r="F118" s="3"/>
      <c r="G118" s="3"/>
      <c r="H118" s="3"/>
      <c r="I118" s="1"/>
      <c r="J118" s="1"/>
      <c r="K118" s="1"/>
      <c r="L118" s="1"/>
      <c r="M118" s="1"/>
      <c r="N118" s="1"/>
      <c r="O118" s="3"/>
      <c r="P118" s="1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s="20" customFormat="1" ht="22.5" hidden="1" x14ac:dyDescent="0.3">
      <c r="B119" s="4"/>
      <c r="C119" s="3"/>
      <c r="D119" s="134"/>
      <c r="E119" s="3"/>
      <c r="F119" s="3"/>
      <c r="G119" s="3"/>
      <c r="H119" s="3"/>
      <c r="I119" s="1"/>
      <c r="J119" s="1"/>
      <c r="K119" s="1"/>
      <c r="L119" s="1"/>
      <c r="M119" s="1"/>
      <c r="N119" s="1"/>
      <c r="O119" s="3"/>
      <c r="P119" s="1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s="20" customFormat="1" ht="18.75" hidden="1" x14ac:dyDescent="0.3">
      <c r="B120" s="4"/>
      <c r="C120" s="3"/>
      <c r="D120" s="3"/>
      <c r="E120" s="3"/>
      <c r="F120" s="112"/>
      <c r="G120" s="3"/>
      <c r="H120" s="3"/>
      <c r="I120" s="1"/>
      <c r="J120" s="1"/>
      <c r="K120" s="1"/>
      <c r="L120" s="1"/>
      <c r="M120" s="1"/>
      <c r="N120" s="1"/>
      <c r="O120" s="112"/>
      <c r="P120" s="1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s="20" customFormat="1" ht="18.75" hidden="1" x14ac:dyDescent="0.3">
      <c r="B121" s="4"/>
      <c r="C121" s="3"/>
      <c r="D121" s="3"/>
      <c r="E121" s="3"/>
      <c r="F121" s="3"/>
      <c r="G121" s="3"/>
      <c r="H121" s="3"/>
      <c r="I121" s="1"/>
      <c r="J121" s="1"/>
      <c r="K121" s="1"/>
      <c r="L121" s="1"/>
      <c r="M121" s="1"/>
      <c r="N121" s="1"/>
      <c r="O121" s="3"/>
      <c r="P121" s="1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s="20" customFormat="1" ht="18.75" hidden="1" x14ac:dyDescent="0.3">
      <c r="B122" s="4"/>
      <c r="C122" s="3"/>
      <c r="D122" s="3"/>
      <c r="E122" s="3"/>
      <c r="F122" s="3"/>
      <c r="G122" s="3"/>
      <c r="H122" s="3"/>
      <c r="I122" s="1"/>
      <c r="J122" s="1"/>
      <c r="K122" s="1"/>
      <c r="L122" s="1"/>
      <c r="M122" s="1"/>
      <c r="N122" s="1"/>
      <c r="O122" s="3"/>
      <c r="P122" s="1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s="20" customFormat="1" ht="18.75" hidden="1" x14ac:dyDescent="0.3">
      <c r="B123" s="29"/>
      <c r="F123" s="3"/>
      <c r="G123" s="3"/>
      <c r="H123" s="3"/>
      <c r="I123" s="1"/>
      <c r="J123" s="1"/>
      <c r="K123" s="1"/>
      <c r="L123" s="1"/>
      <c r="M123" s="1"/>
      <c r="N123" s="1"/>
      <c r="O123" s="3"/>
      <c r="P123" s="1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s="20" customFormat="1" ht="18.75" hidden="1" x14ac:dyDescent="0.3">
      <c r="B124" s="29"/>
      <c r="F124" s="3"/>
      <c r="G124" s="3"/>
      <c r="H124" s="3"/>
      <c r="I124" s="1"/>
      <c r="J124" s="1"/>
      <c r="K124" s="1"/>
      <c r="L124" s="1"/>
      <c r="M124" s="1"/>
      <c r="N124" s="1"/>
      <c r="O124" s="3"/>
      <c r="P124" s="1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hidden="1" x14ac:dyDescent="0.2"/>
    <row r="126" spans="2:42" hidden="1" x14ac:dyDescent="0.2"/>
    <row r="127" spans="2:42" hidden="1" x14ac:dyDescent="0.2"/>
    <row r="128" spans="2:42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</sheetData>
  <mergeCells count="25">
    <mergeCell ref="G3:G4"/>
    <mergeCell ref="A6:Q6"/>
    <mergeCell ref="A65:Q65"/>
    <mergeCell ref="A88:Q88"/>
    <mergeCell ref="B3:B4"/>
    <mergeCell ref="C3:C4"/>
    <mergeCell ref="D3:D4"/>
    <mergeCell ref="E3:E4"/>
    <mergeCell ref="F3:F4"/>
    <mergeCell ref="I108:J108"/>
    <mergeCell ref="I110:J110"/>
    <mergeCell ref="C19:C21"/>
    <mergeCell ref="A1:Q1"/>
    <mergeCell ref="I106:J106"/>
    <mergeCell ref="Q3:Q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A3:A4"/>
  </mergeCells>
  <printOptions horizontalCentered="1"/>
  <pageMargins left="0.39370078740157483" right="0" top="0" bottom="0" header="0.23622047244094491" footer="0.11811023622047245"/>
  <pageSetup paperSize="8" scale="63" fitToHeight="6" orientation="landscape" horizontalDpi="300" verticalDpi="300" r:id="rId1"/>
  <headerFooter alignWithMargins="0"/>
  <rowBreaks count="1" manualBreakCount="1">
    <brk id="64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Шевчук Наталія Борисівна</cp:lastModifiedBy>
  <cp:lastPrinted>2022-02-01T07:15:19Z</cp:lastPrinted>
  <dcterms:created xsi:type="dcterms:W3CDTF">1996-10-08T23:32:33Z</dcterms:created>
  <dcterms:modified xsi:type="dcterms:W3CDTF">2022-02-14T14:30:59Z</dcterms:modified>
</cp:coreProperties>
</file>